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0" yWindow="0" windowWidth="1980" windowHeight="8550" tabRatio="807" activeTab="1"/>
  </bookViews>
  <sheets>
    <sheet name="РАСЧЕТ (ИЗМ)" sheetId="9" r:id="rId1"/>
    <sheet name="Сетевой график (план)" sheetId="5" r:id="rId2"/>
    <sheet name="Мероприятия_отчет" sheetId="1" r:id="rId3"/>
    <sheet name="Мероприятия_план" sheetId="6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</externalReferences>
  <definedNames>
    <definedName name="__MAIN__">#REF!</definedName>
    <definedName name="__MAIN1__">#REF!</definedName>
    <definedName name="__MAIN2__">#REF!</definedName>
    <definedName name="__MAIN3__">#REF!</definedName>
    <definedName name="__qryDecFlowPressure__">#REF!</definedName>
    <definedName name="__qryIncFlowPressure__">#REF!</definedName>
    <definedName name="__qryIncreaseWaterCut__">#REF!</definedName>
    <definedName name="__qryIncWaterCut__">#REF!</definedName>
    <definedName name="__qryIncWCDecRate__">#REF!</definedName>
    <definedName name="__qryInjWellOP__">#REF!</definedName>
    <definedName name="__qryOilWellOp__">#REF!</definedName>
    <definedName name="__qryStartStop__">#REF!</definedName>
    <definedName name="__qryStatWellOPDec__" localSheetId="0">'[1]Анализ динамики'!#REF!</definedName>
    <definedName name="__qryStatWellOPDec__">'[1]Анализ динамики'!#REF!</definedName>
    <definedName name="__qryStatWellOPFeb__">#REF!</definedName>
    <definedName name="__qryStatWellOPJan__">#REF!</definedName>
    <definedName name="__qrySTP04__" localSheetId="0">[2]Отчет!#REF!</definedName>
    <definedName name="__qrySTP04__">[2]Отчет!#REF!</definedName>
    <definedName name="__qryUsedActions__">#REF!</definedName>
    <definedName name="__qryUsedCauses__">#REF!</definedName>
    <definedName name="__tblDecFlowPressure__">#REF!</definedName>
    <definedName name="__tblIncFlowPressure__" localSheetId="0">#REF!</definedName>
    <definedName name="__tblIncFlowPressure__">#REF!</definedName>
    <definedName name="__tblIncreaseWaterCut__" localSheetId="0">#REF!</definedName>
    <definedName name="__tblIncreaseWaterCut__">#REF!</definedName>
    <definedName name="__tblIncWCDecRate__">#REF!</definedName>
    <definedName name="_11.01.00" localSheetId="0">[3]ДОМНГ!#REF!</definedName>
    <definedName name="_11.01.00">[3]ДОМНГ!#REF!</definedName>
    <definedName name="_23_май_02">#REF!</definedName>
    <definedName name="_AAA1">#REF!</definedName>
    <definedName name="_AAA2">#REF!</definedName>
    <definedName name="_AAA3">#REF!</definedName>
    <definedName name="_AAA4">#REF!</definedName>
    <definedName name="_AAA5">#REF!</definedName>
    <definedName name="_AAA6">#REF!</definedName>
    <definedName name="_AAA7">#REF!</definedName>
    <definedName name="_ajy21" localSheetId="0">[4]июн!#REF!</definedName>
    <definedName name="_ajy21">[4]июн!#REF!</definedName>
    <definedName name="_ajy22" localSheetId="0">[4]июн!#REF!</definedName>
    <definedName name="_ajy22">[4]июн!#REF!</definedName>
    <definedName name="_ajy29" localSheetId="0">#REF!</definedName>
    <definedName name="_ajy29">#REF!</definedName>
    <definedName name="_ase65">#REF!</definedName>
    <definedName name="_BBB1">#REF!</definedName>
    <definedName name="_BBB2">#REF!</definedName>
    <definedName name="_BBB3">#REF!</definedName>
    <definedName name="_BBB4">#REF!</definedName>
    <definedName name="_BBB5">#REF!</definedName>
    <definedName name="_BBB6">#REF!</definedName>
    <definedName name="_BBB7">#REF!</definedName>
    <definedName name="_btf77">#REF!</definedName>
    <definedName name="_CCC1">#REF!</definedName>
    <definedName name="_CCC2">#REF!</definedName>
    <definedName name="_CCC3">#REF!</definedName>
    <definedName name="_CCC4">#REF!</definedName>
    <definedName name="_CCC5">#REF!</definedName>
    <definedName name="_CCC6">#REF!</definedName>
    <definedName name="_CCC7">#REF!</definedName>
    <definedName name="_Ceh1">'[4]Снижение производительности'!$R$65</definedName>
    <definedName name="_Ceh10">'[4]Снижение производительности'!$R$759</definedName>
    <definedName name="_Ceh2">'[4]Снижение производительности'!$R$146</definedName>
    <definedName name="_Ceh3">'[4]Снижение производительности'!$R$294</definedName>
    <definedName name="_Ceh4">#REF!</definedName>
    <definedName name="_Ceh5">'[4]Снижение производительности'!$R$421</definedName>
    <definedName name="_Ceh7">'[4]Снижение производительности'!$R$493</definedName>
    <definedName name="_Ceh8">'[4]Снижение производительности'!$R$553</definedName>
    <definedName name="_Ceh9">'[4]Снижение производительности'!$R$688</definedName>
    <definedName name="_cft56">#REF!</definedName>
    <definedName name="_ckb1">#REF!</definedName>
    <definedName name="_ckb2">#REF!</definedName>
    <definedName name="_ckb3">#REF!</definedName>
    <definedName name="_ckb4">#REF!</definedName>
    <definedName name="_ckb5">#REF!</definedName>
    <definedName name="_ckb6">#REF!</definedName>
    <definedName name="_crd1" localSheetId="0">#REF!</definedName>
    <definedName name="_crd1">#REF!</definedName>
    <definedName name="_crd125" localSheetId="0">#REF!</definedName>
    <definedName name="_crd125">#REF!</definedName>
    <definedName name="_crd126" localSheetId="0">#REF!</definedName>
    <definedName name="_crd126">#REF!</definedName>
    <definedName name="_crd2" localSheetId="0">[4]июн!#REF!</definedName>
    <definedName name="_crd2">[4]июн!#REF!</definedName>
    <definedName name="_crd3" localSheetId="0">[4]июн!#REF!</definedName>
    <definedName name="_crd3">[4]июн!#REF!</definedName>
    <definedName name="_crd4" localSheetId="0">[4]июн!#REF!</definedName>
    <definedName name="_crd4">[4]июн!#REF!</definedName>
    <definedName name="_crt6">#REF!</definedName>
    <definedName name="_der55">#REF!</definedName>
    <definedName name="_dfg67">#REF!</definedName>
    <definedName name="_dfr44">#REF!</definedName>
    <definedName name="_dft23">#REF!</definedName>
    <definedName name="_dfv56">#REF!</definedName>
    <definedName name="_dfw9">#REF!</definedName>
    <definedName name="_dhj10">'[4]Снижение производительности'!$C$759</definedName>
    <definedName name="_dhj2">'[4]Снижение производительности'!$C$146</definedName>
    <definedName name="_dhj3">'[4]Снижение производительности'!$C$294</definedName>
    <definedName name="_dhj4">'[4]Снижение производительности'!$C$372</definedName>
    <definedName name="_dhj5">'[4]Снижение производительности'!$C$421</definedName>
    <definedName name="_dhj7">'[4]Снижение производительности'!$C$493</definedName>
    <definedName name="_dhj8">'[4]Снижение производительности'!$C$553</definedName>
    <definedName name="_dhj9">'[4]Снижение производительности'!$C$688</definedName>
    <definedName name="_dkt11">#REF!</definedName>
    <definedName name="_dky77">#REF!</definedName>
    <definedName name="_dlt4">#REF!</definedName>
    <definedName name="_dtj11">#REF!</definedName>
    <definedName name="_dyh345">#REF!</definedName>
    <definedName name="_erj4">#REF!</definedName>
    <definedName name="_ert11">#REF!</definedName>
    <definedName name="_ert12">#REF!</definedName>
    <definedName name="_ert66">#REF!</definedName>
    <definedName name="_fgh13">#REF!</definedName>
    <definedName name="_fgh14">#REF!</definedName>
    <definedName name="_fgh55">#REF!</definedName>
    <definedName name="_FGT12" localSheetId="0">[5]ДП!#REF!</definedName>
    <definedName name="_FGT12">[5]ДП!#REF!</definedName>
    <definedName name="_fgt22">#REF!</definedName>
    <definedName name="_fgt66">[4]ТКРС!$T$26</definedName>
    <definedName name="_fgu55">#REF!</definedName>
    <definedName name="_fgu98">#REF!</definedName>
    <definedName name="_frt44">#REF!</definedName>
    <definedName name="_frt55">#REF!</definedName>
    <definedName name="_fth12">#REF!</definedName>
    <definedName name="_fyu12">#REF!</definedName>
    <definedName name="_ggh88">#REF!</definedName>
    <definedName name="_ghh77">#REF!</definedName>
    <definedName name="_ghj4">'[4]Снижение производительности'!$C$65</definedName>
    <definedName name="_ghj99">#REF!</definedName>
    <definedName name="_gik5">#REF!</definedName>
    <definedName name="_gyj11">#REF!</definedName>
    <definedName name="_hhh1">'[4]Снижение производительности'!$L$65</definedName>
    <definedName name="_hhh10">'[4]Снижение производительности'!$L$759</definedName>
    <definedName name="_hhh2">'[4]Снижение производительности'!$L$146</definedName>
    <definedName name="_hhh3">'[4]Снижение производительности'!$L$294</definedName>
    <definedName name="_hhh4">'[4]Снижение производительности'!$L$372</definedName>
    <definedName name="_hhh5">'[4]Снижение производительности'!$L$421</definedName>
    <definedName name="_hhh7">'[4]Снижение производительности'!$L$493</definedName>
    <definedName name="_hhh8">'[4]Снижение производительности'!$L$553</definedName>
    <definedName name="_hhh9">'[4]Снижение производительности'!$L$688</definedName>
    <definedName name="_huj11">#REF!</definedName>
    <definedName name="_hxd4">#REF!</definedName>
    <definedName name="_hyu12">#REF!</definedName>
    <definedName name="_iop45">#REF!</definedName>
    <definedName name="_jcd4" localSheetId="0">[4]июн!#REF!</definedName>
    <definedName name="_jcd4">[4]июн!#REF!</definedName>
    <definedName name="_Jid1" localSheetId="0">[4]июн!#REF!</definedName>
    <definedName name="_Jid1">[4]июн!#REF!</definedName>
    <definedName name="_kr1">[6]остановки!$Q$1:$R$2</definedName>
    <definedName name="_kso1">#REF!</definedName>
    <definedName name="_lpo99">#REF!</definedName>
    <definedName name="_lpu88">#REF!</definedName>
    <definedName name="_MMM1" localSheetId="0">#REF!</definedName>
    <definedName name="_MMM1">#REF!</definedName>
    <definedName name="_mmm10">'[4]Снижение производительности'!$M$759</definedName>
    <definedName name="_MMM2" localSheetId="0">#REF!</definedName>
    <definedName name="_MMM2">#REF!</definedName>
    <definedName name="_MMM3" localSheetId="0">#REF!</definedName>
    <definedName name="_MMM3">#REF!</definedName>
    <definedName name="_MMM4" localSheetId="0">#REF!</definedName>
    <definedName name="_MMM4">#REF!</definedName>
    <definedName name="_MMM5" localSheetId="0">#REF!</definedName>
    <definedName name="_MMM5">#REF!</definedName>
    <definedName name="_MMM6" localSheetId="0">#REF!</definedName>
    <definedName name="_MMM6">#REF!</definedName>
    <definedName name="_MMM7" localSheetId="0">#REF!</definedName>
    <definedName name="_MMM7">#REF!</definedName>
    <definedName name="_mmm8">'[4]Снижение производительности'!$M$553</definedName>
    <definedName name="_mmm9">'[4]Снижение производительности'!$M$688</definedName>
    <definedName name="_njy125" localSheetId="0">#REF!</definedName>
    <definedName name="_njy125">#REF!</definedName>
    <definedName name="_njy126" localSheetId="0">#REF!</definedName>
    <definedName name="_njy126">#REF!</definedName>
    <definedName name="_njy2" localSheetId="0">[4]июн!#REF!</definedName>
    <definedName name="_njy2">[4]июн!#REF!</definedName>
    <definedName name="_njy4" localSheetId="0">[4]июн!#REF!</definedName>
    <definedName name="_njy4">[4]июн!#REF!</definedName>
    <definedName name="_NNN1" localSheetId="0">#REF!</definedName>
    <definedName name="_NNN1">#REF!</definedName>
    <definedName name="_NNN2" localSheetId="0">#REF!</definedName>
    <definedName name="_NNN2">#REF!</definedName>
    <definedName name="_NNN3" localSheetId="0">#REF!</definedName>
    <definedName name="_NNN3">#REF!</definedName>
    <definedName name="_NNN4" localSheetId="0">#REF!</definedName>
    <definedName name="_NNN4">#REF!</definedName>
    <definedName name="_NNN5" localSheetId="0">#REF!</definedName>
    <definedName name="_NNN5">#REF!</definedName>
    <definedName name="_NNN6" localSheetId="0">#REF!</definedName>
    <definedName name="_NNN6">#REF!</definedName>
    <definedName name="_NNN7" localSheetId="0">#REF!</definedName>
    <definedName name="_NNN7">#REF!</definedName>
    <definedName name="_noy1" localSheetId="0">#REF!</definedName>
    <definedName name="_noy1">#REF!</definedName>
    <definedName name="_ooo1">#REF!</definedName>
    <definedName name="_ooo10">#REF!</definedName>
    <definedName name="_ooo2">#REF!</definedName>
    <definedName name="_ooo3">#REF!</definedName>
    <definedName name="_ooo4">#REF!</definedName>
    <definedName name="_ooo5">#REF!</definedName>
    <definedName name="_ooo7">#REF!</definedName>
    <definedName name="_ooo8">#REF!</definedName>
    <definedName name="_ooo9">#REF!</definedName>
    <definedName name="_pr3" localSheetId="0">[4]июн!#REF!</definedName>
    <definedName name="_pr3">[4]июн!#REF!</definedName>
    <definedName name="_rbh22">#REF!</definedName>
    <definedName name="_reb125" localSheetId="0">#REF!</definedName>
    <definedName name="_reb125">#REF!</definedName>
    <definedName name="_reb126" localSheetId="0">#REF!</definedName>
    <definedName name="_reb126">#REF!</definedName>
    <definedName name="_red1" localSheetId="0">#REF!</definedName>
    <definedName name="_red1">#REF!</definedName>
    <definedName name="_red2" localSheetId="0">#REF!</definedName>
    <definedName name="_red2">#REF!</definedName>
    <definedName name="_reg1" localSheetId="0">[6]запуски!#REF!</definedName>
    <definedName name="_reg1">[6]запуски!#REF!</definedName>
    <definedName name="_reg2" localSheetId="0">[6]запуски!#REF!</definedName>
    <definedName name="_reg2">[6]запуски!#REF!</definedName>
    <definedName name="_reg3" localSheetId="0">[6]запуски!#REF!</definedName>
    <definedName name="_reg3">[6]запуски!#REF!</definedName>
    <definedName name="_reg4" localSheetId="0">[6]запуски!#REF!</definedName>
    <definedName name="_reg4">[6]запуски!#REF!</definedName>
    <definedName name="_reg5" localSheetId="0">[6]запуски!#REF!</definedName>
    <definedName name="_reg5">[6]запуски!#REF!</definedName>
    <definedName name="_reg6" localSheetId="0">[6]запуски!#REF!</definedName>
    <definedName name="_reg6">[6]запуски!#REF!</definedName>
    <definedName name="_reg7" localSheetId="0">#REF!</definedName>
    <definedName name="_reg7">#REF!</definedName>
    <definedName name="_Rf10">[7]потенциал!$B$12</definedName>
    <definedName name="_Rf11">[7]потенциал!$B$13</definedName>
    <definedName name="_Rf12">[7]потенциал!$B$14</definedName>
    <definedName name="_rrr1">'[4]Снижение производительности'!$T$65</definedName>
    <definedName name="_rrr10">'[4]Снижение производительности'!$T$759</definedName>
    <definedName name="_rrr2">'[4]Снижение производительности'!$T$146</definedName>
    <definedName name="_rrr3">'[4]Снижение производительности'!$T$294</definedName>
    <definedName name="_rrr4">'[4]Снижение производительности'!$T$372</definedName>
    <definedName name="_rrr5">'[4]Снижение производительности'!$T$421</definedName>
    <definedName name="_rrr7">'[4]Снижение производительности'!$T$493</definedName>
    <definedName name="_rrr8">'[4]Снижение производительности'!$T$553</definedName>
    <definedName name="_rrr9">'[4]Снижение производительности'!$T$688</definedName>
    <definedName name="_rtl7">#REF!</definedName>
    <definedName name="_rtn88">#REF!</definedName>
    <definedName name="_rty66">'[4]Снижение производительности'!$R$372</definedName>
    <definedName name="_srt55">#REF!</definedName>
    <definedName name="_srt77">#REF!</definedName>
    <definedName name="_SSS1">#REF!</definedName>
    <definedName name="_SSS2">#REF!</definedName>
    <definedName name="_SSS3">#REF!</definedName>
    <definedName name="_SSS4">#REF!</definedName>
    <definedName name="_SSS5">#REF!</definedName>
    <definedName name="_SSS6">#REF!</definedName>
    <definedName name="_SSS7">#REF!</definedName>
    <definedName name="_sui99">#REF!</definedName>
    <definedName name="_sul5">#REF!</definedName>
    <definedName name="_TGH11">#REF!</definedName>
    <definedName name="_tn1" localSheetId="0">[4]июн!#REF!</definedName>
    <definedName name="_tn1">[4]июн!#REF!</definedName>
    <definedName name="_tyj5">#REF!</definedName>
    <definedName name="_uin88">#REF!</definedName>
    <definedName name="_uio44">#REF!</definedName>
    <definedName name="_vae66">#REF!</definedName>
    <definedName name="_vfr77">#REF!</definedName>
    <definedName name="_vhy56">#REF!</definedName>
    <definedName name="_vv2" localSheetId="0">[8]Ввод!#REF!</definedName>
    <definedName name="_vv2">[8]Ввод!#REF!</definedName>
    <definedName name="_vvv1" localSheetId="0">[8]Ввод!#REF!</definedName>
    <definedName name="_vvv1">[8]Ввод!#REF!</definedName>
    <definedName name="_VVV2" localSheetId="0">[4]Накопит.!#REF!</definedName>
    <definedName name="_VVV2">[4]Накопит.!#REF!</definedName>
    <definedName name="_VVV3" localSheetId="0">[4]Накопит.!#REF!</definedName>
    <definedName name="_VVV3">[4]Накопит.!#REF!</definedName>
    <definedName name="_VVV4" localSheetId="0">[4]Накопит.!#REF!</definedName>
    <definedName name="_VVV4">[4]Накопит.!#REF!</definedName>
    <definedName name="_VVV5" localSheetId="0">[4]Накопит.!#REF!</definedName>
    <definedName name="_VVV5">[4]Накопит.!#REF!</definedName>
    <definedName name="_VVV6" localSheetId="0">[4]Накопит.!#REF!</definedName>
    <definedName name="_VVV6">[4]Накопит.!#REF!</definedName>
    <definedName name="_VVV7" localSheetId="0">[4]Накопит.!#REF!</definedName>
    <definedName name="_VVV7">[4]Накопит.!#REF!</definedName>
    <definedName name="_xer55">#REF!</definedName>
    <definedName name="_zx2" localSheetId="0">[4]июн!#REF!</definedName>
    <definedName name="_zx2">[4]июн!#REF!</definedName>
    <definedName name="A">#REF!</definedName>
    <definedName name="aa">#REF!</definedName>
    <definedName name="aaa">#REF!</definedName>
    <definedName name="aaaa">#REF!</definedName>
    <definedName name="aaaaa">#REF!</definedName>
    <definedName name="aaaaaa">#REF!</definedName>
    <definedName name="aads">#REF!</definedName>
    <definedName name="aadsds">#REF!</definedName>
    <definedName name="aasd">'[8]Опт '!$B$15</definedName>
    <definedName name="aasdds">#REF!</definedName>
    <definedName name="aasdsd">#REF!</definedName>
    <definedName name="aassdd">#REF!</definedName>
    <definedName name="activ">#REF!</definedName>
    <definedName name="add">#REF!</definedName>
    <definedName name="ads">#REF!</definedName>
    <definedName name="adsads">#REF!</definedName>
    <definedName name="adss">'[8]Опт '!$F$16</definedName>
    <definedName name="adssadss">#REF!</definedName>
    <definedName name="apvs_start_type" localSheetId="0">[9]apvs_template!#REF!</definedName>
    <definedName name="apvs_start_type">[9]apvs_template!#REF!</definedName>
    <definedName name="Area">#REF!</definedName>
    <definedName name="asd">[8]ИДН!$U$30</definedName>
    <definedName name="asdasd">#REF!</definedName>
    <definedName name="asdd">#REF!</definedName>
    <definedName name="asdf" localSheetId="0">[8]Ввод!#REF!</definedName>
    <definedName name="asdf">[8]Ввод!#REF!</definedName>
    <definedName name="assd">#REF!</definedName>
    <definedName name="AutoNameDB" localSheetId="0">[10]параметры!#REF!</definedName>
    <definedName name="AutoNameDB">[10]параметры!#REF!</definedName>
    <definedName name="AutoTypDB">[11]параметры!$D$1:$D$65536</definedName>
    <definedName name="b">#REF!</definedName>
    <definedName name="ba">#REF!</definedName>
    <definedName name="basa">[6]остановки!$A$4:$O$100</definedName>
    <definedName name="Base" localSheetId="0">[6]остановки!#REF!</definedName>
    <definedName name="Base">[6]остановки!#REF!</definedName>
    <definedName name="bb">#REF!</definedName>
    <definedName name="bbb">#REF!</definedName>
    <definedName name="bbbb">#REF!</definedName>
    <definedName name="bbbbb">#REF!</definedName>
    <definedName name="bbbbbb">#REF!</definedName>
    <definedName name="bbn">#REF!</definedName>
    <definedName name="bbnb">#REF!</definedName>
    <definedName name="bbnn">#REF!</definedName>
    <definedName name="bbnnb">#REF!</definedName>
    <definedName name="bd">#REF!</definedName>
    <definedName name="BD_ESP">'[12]Справочник ЭЦН'!$A$3:$J$82</definedName>
    <definedName name="BD_MEST">'[12]Справочник по пластам'!$A$3:$I$300</definedName>
    <definedName name="bdvne">#REF!</definedName>
    <definedName name="bhbh">[4]ТКРС!$U$26</definedName>
    <definedName name="BHCIP">#REF!</definedName>
    <definedName name="bhjh">#REF!</definedName>
    <definedName name="bhu">#REF!</definedName>
    <definedName name="bhyu77">#REF!</definedName>
    <definedName name="bm">#REF!</definedName>
    <definedName name="bn">#REF!</definedName>
    <definedName name="bnbn">#REF!</definedName>
    <definedName name="bnbnb">#REF!</definedName>
    <definedName name="Bo">#REF!</definedName>
    <definedName name="bob">#REF!</definedName>
    <definedName name="Boi">#REF!</definedName>
    <definedName name="Bw">#REF!</definedName>
    <definedName name="Cas_ID">#REF!</definedName>
    <definedName name="casing_area">#REF!</definedName>
    <definedName name="Casing_ID">#REF!</definedName>
    <definedName name="Casing_OD">#REF!</definedName>
    <definedName name="cds">#REF!</definedName>
    <definedName name="cdsc">#REF!</definedName>
    <definedName name="Ce">#REF!</definedName>
    <definedName name="Cf">#REF!</definedName>
    <definedName name="cff">#REF!</definedName>
    <definedName name="cfgcy">#REF!</definedName>
    <definedName name="cfgh55">[4]ГРП!$Z$20</definedName>
    <definedName name="cfrr">#REF!</definedName>
    <definedName name="cftg">#REF!</definedName>
    <definedName name="cghg">#REF!</definedName>
    <definedName name="Co">#REF!</definedName>
    <definedName name="crd1a" localSheetId="0">#REF!</definedName>
    <definedName name="crd1a">#REF!</definedName>
    <definedName name="crd1d" localSheetId="0">#REF!</definedName>
    <definedName name="crd1d">#REF!</definedName>
    <definedName name="crd2b" localSheetId="0">#REF!</definedName>
    <definedName name="crd2b">#REF!</definedName>
    <definedName name="crd3a" localSheetId="0">#REF!</definedName>
    <definedName name="crd3a">#REF!</definedName>
    <definedName name="crd3b" localSheetId="0">#REF!</definedName>
    <definedName name="crd3b">#REF!</definedName>
    <definedName name="crdf3" localSheetId="0">#REF!</definedName>
    <definedName name="crdf3">#REF!</definedName>
    <definedName name="cs">#REF!</definedName>
    <definedName name="CurMonth">[10]параметры!$H$7</definedName>
    <definedName name="CurYear">[10]параметры!$H$8</definedName>
    <definedName name="Cw">#REF!</definedName>
    <definedName name="cyj">#REF!</definedName>
    <definedName name="d">#REF!</definedName>
    <definedName name="dahj">#REF!</definedName>
    <definedName name="das">#REF!</definedName>
    <definedName name="dasdas">#REF!</definedName>
    <definedName name="data" localSheetId="0">[4]июн!#REF!</definedName>
    <definedName name="data">[4]июн!#REF!</definedName>
    <definedName name="DataBase">[6]запуски!$A$4:$R$63</definedName>
    <definedName name="dB">#REF!</definedName>
    <definedName name="Dcas">#REF!</definedName>
    <definedName name="DCDYH">#REF!</definedName>
    <definedName name="dcvd">#REF!</definedName>
    <definedName name="dd" localSheetId="0">[8]Ввод!#REF!</definedName>
    <definedName name="dd">[8]Ввод!#REF!</definedName>
    <definedName name="ddd">#REF!</definedName>
    <definedName name="dddd">#REF!</definedName>
    <definedName name="ddddd">#REF!</definedName>
    <definedName name="dddddd">#REF!</definedName>
    <definedName name="ddsa">#REF!</definedName>
    <definedName name="ddssaa">#REF!</definedName>
    <definedName name="depth">#REF!</definedName>
    <definedName name="df">#REF!</definedName>
    <definedName name="dfdf">#REF!</definedName>
    <definedName name="dfdfd">#REF!</definedName>
    <definedName name="dfdfds">#REF!</definedName>
    <definedName name="dfg" localSheetId="0">[8]Ввод!#REF!</definedName>
    <definedName name="dfg">[8]Ввод!#REF!</definedName>
    <definedName name="dfgyy">#REF!</definedName>
    <definedName name="dfh" localSheetId="0">[8]Ввод!#REF!</definedName>
    <definedName name="dfh">[8]Ввод!#REF!</definedName>
    <definedName name="dfr">'[4]Опт '!$W$17</definedName>
    <definedName name="dftg">[4]ТКРС!$AH$26</definedName>
    <definedName name="dfty10">#REF!</definedName>
    <definedName name="dfty45">#REF!</definedName>
    <definedName name="dg">#REF!</definedName>
    <definedName name="dghf">#REF!</definedName>
    <definedName name="dgr">#REF!</definedName>
    <definedName name="dhtj4">#REF!</definedName>
    <definedName name="dP">#REF!</definedName>
    <definedName name="dpdt">#REF!</definedName>
    <definedName name="drt">#REF!</definedName>
    <definedName name="drth" localSheetId="0">[8]ГРП!#REF!</definedName>
    <definedName name="drth">[8]ГРП!#REF!</definedName>
    <definedName name="drtt">#REF!</definedName>
    <definedName name="dsa">'[8]Опт '!$F$15</definedName>
    <definedName name="dsaa">'[8]Опт '!$B$16</definedName>
    <definedName name="dsaads">#REF!</definedName>
    <definedName name="dsadsa">#REF!</definedName>
    <definedName name="dtb">#REF!</definedName>
    <definedName name="Dtub">#REF!</definedName>
    <definedName name="dw">#REF!</definedName>
    <definedName name="dв">#REF!</definedName>
    <definedName name="dвн">#REF!</definedName>
    <definedName name="dн">#REF!</definedName>
    <definedName name="dнар">#REF!</definedName>
    <definedName name="Dобр">[13]СКО!$M$102</definedName>
    <definedName name="e">#REF!</definedName>
    <definedName name="ed">#REF!</definedName>
    <definedName name="er">#REF!</definedName>
    <definedName name="erty">#REF!</definedName>
    <definedName name="ertyh5">#REF!</definedName>
    <definedName name="ESP_MD">#REF!</definedName>
    <definedName name="Excel_BuiltIn__FilterDatabase">#REF!</definedName>
    <definedName name="Excel_BuiltIn__FilterDatabase_1">#REF!</definedName>
    <definedName name="Excel_BuiltIn_Criteria">#REF!</definedName>
    <definedName name="Excel_BuiltIn_Database">#REF!</definedName>
    <definedName name="Excel_BuiltIn_Extract">#REF!</definedName>
    <definedName name="Excel_BuiltIn_Print_Area" localSheetId="0">[14]Сутки!#REF!</definedName>
    <definedName name="Excel_BuiltIn_Print_Area">[14]Сутки!#REF!</definedName>
    <definedName name="Excel_BuiltIn_Print_Titles">#REF!</definedName>
    <definedName name="Excel_BuiltIn_Recorder">#REF!</definedName>
    <definedName name="f">#REF!</definedName>
    <definedName name="fb">#REF!</definedName>
    <definedName name="fbv">#REF!</definedName>
    <definedName name="fdf">#REF!</definedName>
    <definedName name="fdff" localSheetId="0">#REF!</definedName>
    <definedName name="fdff">#REF!</definedName>
    <definedName name="fdsa">'[8]Опт '!$S$17</definedName>
    <definedName name="ff">#REF!</definedName>
    <definedName name="fff">#REF!</definedName>
    <definedName name="ffff">#REF!</definedName>
    <definedName name="fffff">#REF!</definedName>
    <definedName name="ffffff">#REF!</definedName>
    <definedName name="fg">#REF!</definedName>
    <definedName name="fgf">#REF!</definedName>
    <definedName name="fgfd">#REF!</definedName>
    <definedName name="fgfdg">#REF!</definedName>
    <definedName name="fgfg">[4]Ввод!$I$16</definedName>
    <definedName name="fgh" localSheetId="0">[8]БД!#REF!</definedName>
    <definedName name="fgh">[8]БД!#REF!</definedName>
    <definedName name="fghg" localSheetId="0">#REF!</definedName>
    <definedName name="fghg">#REF!</definedName>
    <definedName name="fghj">'[8]Опт '!$B$17</definedName>
    <definedName name="fgj" localSheetId="0">[8]БД!#REF!</definedName>
    <definedName name="fgj">[8]БД!#REF!</definedName>
    <definedName name="fgt">[8]ППД!$B$31</definedName>
    <definedName name="fgty">[4]Ввод!$J$16</definedName>
    <definedName name="fgty77">#REF!</definedName>
    <definedName name="fh">'[8]Опт '!$AE$17</definedName>
    <definedName name="fields_list">#REF!</definedName>
    <definedName name="FL">#REF!</definedName>
    <definedName name="Fluid_rate">#REF!</definedName>
    <definedName name="fnhg">#REF!</definedName>
    <definedName name="frfrd">[4]ИДН!$Z$20</definedName>
    <definedName name="frg">#REF!</definedName>
    <definedName name="frty88">#REF!</definedName>
    <definedName name="ftg" localSheetId="0">[4]ТКРС!#REF!</definedName>
    <definedName name="ftg">[4]ТКРС!#REF!</definedName>
    <definedName name="ftgh">'[4]Опт '!$AK$17</definedName>
    <definedName name="ftgy" localSheetId="0">[4]ТКРС!#REF!</definedName>
    <definedName name="ftgy">[4]ТКРС!#REF!</definedName>
    <definedName name="ftyu">#REF!</definedName>
    <definedName name="fuj">#REF!</definedName>
    <definedName name="fv">#REF!</definedName>
    <definedName name="fvb">#REF!</definedName>
    <definedName name="fvf">#REF!</definedName>
    <definedName name="fyh" localSheetId="0">[8]ГРП!#REF!</definedName>
    <definedName name="fyh">[8]ГРП!#REF!</definedName>
    <definedName name="fyuj78">#REF!</definedName>
    <definedName name="gdg">#REF!</definedName>
    <definedName name="gfd" localSheetId="0">[8]Ввод!#REF!</definedName>
    <definedName name="gfd">[8]Ввод!#REF!</definedName>
    <definedName name="gfg">#REF!</definedName>
    <definedName name="gfgf">#REF!</definedName>
    <definedName name="GG" localSheetId="0">[8]Ввод!#REF!</definedName>
    <definedName name="GG">[8]Ввод!#REF!</definedName>
    <definedName name="ggf">#REF!</definedName>
    <definedName name="gghbn">#REF!</definedName>
    <definedName name="ggt">#REF!</definedName>
    <definedName name="GH" localSheetId="0">[8]Ввод!#REF!</definedName>
    <definedName name="GH">[8]Ввод!#REF!</definedName>
    <definedName name="ghfg">'[8]Опт '!$AD$17</definedName>
    <definedName name="ghg">#REF!</definedName>
    <definedName name="ghgv">#REF!</definedName>
    <definedName name="ghhgh" localSheetId="0">#REF!</definedName>
    <definedName name="ghhgh">#REF!</definedName>
    <definedName name="ghj">#REF!</definedName>
    <definedName name="ghn">#REF!</definedName>
    <definedName name="ghnyh">#REF!</definedName>
    <definedName name="ghu">[8]ИДН!$B$30</definedName>
    <definedName name="ghui5">#REF!</definedName>
    <definedName name="ghyh" localSheetId="0">[4]ТКРС!#REF!</definedName>
    <definedName name="ghyh">[4]ТКРС!#REF!</definedName>
    <definedName name="ghyu99">#REF!</definedName>
    <definedName name="gm">#REF!</definedName>
    <definedName name="gn">#REF!</definedName>
    <definedName name="gnb">#REF!</definedName>
    <definedName name="GOR">#REF!</definedName>
    <definedName name="grp">#REF!</definedName>
    <definedName name="grpvne">#REF!</definedName>
    <definedName name="gsdfg" localSheetId="0">#REF!</definedName>
    <definedName name="gsdfg">#REF!</definedName>
    <definedName name="gss">#REF!</definedName>
    <definedName name="gv">[15]лист2!$D$31</definedName>
    <definedName name="h">#REF!</definedName>
    <definedName name="hbjhb">#REF!</definedName>
    <definedName name="Hdin">#REF!</definedName>
    <definedName name="hfgh">'[8]Опт '!$AF$17</definedName>
    <definedName name="hfr">#REF!</definedName>
    <definedName name="HG" localSheetId="0">[8]Ввод!#REF!</definedName>
    <definedName name="HG">[8]Ввод!#REF!</definedName>
    <definedName name="hgdf" localSheetId="0">[8]БД!#REF!</definedName>
    <definedName name="hgdf">[8]БД!#REF!</definedName>
    <definedName name="hgf">#REF!</definedName>
    <definedName name="hgh" localSheetId="0">[8]БД!#REF!</definedName>
    <definedName name="hgh">[8]БД!#REF!</definedName>
    <definedName name="hghg">#REF!</definedName>
    <definedName name="hghgf" localSheetId="0">#REF!</definedName>
    <definedName name="hghgf">#REF!</definedName>
    <definedName name="hh">#REF!</definedName>
    <definedName name="hhg">#REF!</definedName>
    <definedName name="hhhj">#REF!</definedName>
    <definedName name="hhj">#REF!</definedName>
    <definedName name="hhjj">#REF!</definedName>
    <definedName name="hi">#REF!</definedName>
    <definedName name="hj">#REF!</definedName>
    <definedName name="hjfg">#REF!</definedName>
    <definedName name="hjh">#REF!</definedName>
    <definedName name="hjk">#REF!</definedName>
    <definedName name="hjkjh">#REF!</definedName>
    <definedName name="hjkl">#REF!</definedName>
    <definedName name="hjn">#REF!</definedName>
    <definedName name="hjnn">#REF!</definedName>
    <definedName name="hk">#REF!</definedName>
    <definedName name="hkj">#REF!</definedName>
    <definedName name="hklk">#REF!</definedName>
    <definedName name="hm">#REF!</definedName>
    <definedName name="hmh">#REF!</definedName>
    <definedName name="hmn">#REF!</definedName>
    <definedName name="hn">#REF!</definedName>
    <definedName name="hnh">#REF!</definedName>
    <definedName name="hnhgn">#REF!</definedName>
    <definedName name="Hperf">#REF!</definedName>
    <definedName name="Hpump">#REF!</definedName>
    <definedName name="ht">#REF!</definedName>
    <definedName name="htf">#REF!</definedName>
    <definedName name="hth" localSheetId="0">[8]БД!#REF!</definedName>
    <definedName name="hth">[8]БД!#REF!</definedName>
    <definedName name="htr">#REF!</definedName>
    <definedName name="htt">#REF!</definedName>
    <definedName name="hu">#REF!</definedName>
    <definedName name="hugh" localSheetId="0">[8]Ввод!#REF!</definedName>
    <definedName name="hugh">[8]Ввод!#REF!</definedName>
    <definedName name="i">#REF!</definedName>
    <definedName name="idn">#REF!</definedName>
    <definedName name="idnvne">#REF!</definedName>
    <definedName name="ii">#REF!</definedName>
    <definedName name="iii">#REF!</definedName>
    <definedName name="iiii">#REF!</definedName>
    <definedName name="iiiii">#REF!</definedName>
    <definedName name="iiiiii">#REF!</definedName>
    <definedName name="il">#REF!</definedName>
    <definedName name="ilk">#REF!</definedName>
    <definedName name="in_st">([16]стат.пар!$N$4:$N$12,[16]стат.пар!$N$16:$N$24,[16]стат.пар!$N$27:$N$35,[16]стат.пар!$N$38:$N$48,[16]стат.пар!$N$52:$N$55,[16]стат.пар!$N$57:$N$61,[16]стат.пар!$N$63:$N$64)</definedName>
    <definedName name="ItSkv1" localSheetId="0">[4]июн!#REF!</definedName>
    <definedName name="ItSkv1">[4]июн!#REF!</definedName>
    <definedName name="j">j</definedName>
    <definedName name="jb">#REF!</definedName>
    <definedName name="jghgf">[8]ИДН!$T$30</definedName>
    <definedName name="jh">#REF!</definedName>
    <definedName name="jhddf">#REF!</definedName>
    <definedName name="jhfg">#REF!</definedName>
    <definedName name="jhg">#REF!</definedName>
    <definedName name="jhgf">'[8]Опт '!$F$17</definedName>
    <definedName name="jhj">#REF!</definedName>
    <definedName name="jhk">#REF!</definedName>
    <definedName name="jhuhuh">#REF!</definedName>
    <definedName name="jjh">#REF!</definedName>
    <definedName name="jjjjk">#REF!</definedName>
    <definedName name="jjjk">#REF!</definedName>
    <definedName name="jjjkj">#REF!</definedName>
    <definedName name="jjjkk">#REF!</definedName>
    <definedName name="jjk">#REF!</definedName>
    <definedName name="jjkj">#REF!</definedName>
    <definedName name="jjkk">#REF!</definedName>
    <definedName name="jk">#REF!</definedName>
    <definedName name="jkh">#REF!</definedName>
    <definedName name="jkj">#REF!</definedName>
    <definedName name="jkjjk">#REF!</definedName>
    <definedName name="jkjk">#REF!</definedName>
    <definedName name="jkjkj">#REF!</definedName>
    <definedName name="jkjkjj">#REF!</definedName>
    <definedName name="jkjkjjk">#REF!</definedName>
    <definedName name="jkjkjk">#REF!</definedName>
    <definedName name="jkjkkj">#REF!</definedName>
    <definedName name="jkk">#REF!</definedName>
    <definedName name="jkkk">#REF!</definedName>
    <definedName name="jkl">#REF!</definedName>
    <definedName name="jklh">#REF!</definedName>
    <definedName name="jm">#REF!</definedName>
    <definedName name="jtytr" localSheetId="0">[8]БД!#REF!</definedName>
    <definedName name="jtytr">[8]БД!#REF!</definedName>
    <definedName name="jy" localSheetId="0">[8]БД!#REF!</definedName>
    <definedName name="jy">[8]БД!#REF!</definedName>
    <definedName name="jyjjg">#REF!</definedName>
    <definedName name="jyth">'[8]Опт '!$R$17</definedName>
    <definedName name="k">#REF!</definedName>
    <definedName name="k_1">[6]запуски!$W$2:$W$3</definedName>
    <definedName name="k_1_2">[6]остановки!$Q$1:$R$3</definedName>
    <definedName name="k_12">[6]остановки!$Q$1:$R$3</definedName>
    <definedName name="k_32">[6]остановки!$T$1:$U$3</definedName>
    <definedName name="k_42">[6]остановки!$V$1:$W$3</definedName>
    <definedName name="k_52">[6]остановки!$X$1:$Z$3</definedName>
    <definedName name="khj">#REF!</definedName>
    <definedName name="ki">#REF!</definedName>
    <definedName name="KIN">#REF!</definedName>
    <definedName name="kiu">[8]ИДН!$G$30</definedName>
    <definedName name="kj">#REF!</definedName>
    <definedName name="kjh">#REF!</definedName>
    <definedName name="kjhh">#REF!</definedName>
    <definedName name="kjj">#REF!</definedName>
    <definedName name="kjjj">#REF!</definedName>
    <definedName name="kjkjh" localSheetId="0">#REF!</definedName>
    <definedName name="kjkjh">#REF!</definedName>
    <definedName name="kjkjk">#REF!</definedName>
    <definedName name="kjkjkj">#REF!</definedName>
    <definedName name="kjkk">#REF!</definedName>
    <definedName name="kjl">#REF!</definedName>
    <definedName name="kk">#REF!</definedName>
    <definedName name="kkj">#REF!</definedName>
    <definedName name="kkjj">#REF!</definedName>
    <definedName name="kkjk">#REF!</definedName>
    <definedName name="kkk">#REF!</definedName>
    <definedName name="kkkj">#REF!</definedName>
    <definedName name="kkl">#REF!</definedName>
    <definedName name="kl">#REF!</definedName>
    <definedName name="klj">#REF!</definedName>
    <definedName name="klk">#REF!</definedName>
    <definedName name="klkl">#REF!</definedName>
    <definedName name="kllk">#REF!</definedName>
    <definedName name="Ko">#REF!</definedName>
    <definedName name="kr_1">[6]остановки!$Q$1:$R$2</definedName>
    <definedName name="kr_1_2">[6]запуски!$U$1:$W$3</definedName>
    <definedName name="kr_12">[6]остановки!$AC$1:$AD$2</definedName>
    <definedName name="kr_2">[6]остановки!$S$1:$T$2</definedName>
    <definedName name="kr_2_2">[6]запуски!$X$1:$Z$3</definedName>
    <definedName name="kr_22">[6]остановки!$AE$1:$AF$2</definedName>
    <definedName name="kr_3">[6]остановки!$U$1:$V$2</definedName>
    <definedName name="kr_3_2">[6]запуски!$AA$1:$AC$3</definedName>
    <definedName name="kr_32">[6]остановки!$AG$1:$AH$2</definedName>
    <definedName name="kr_4">[6]остановки!$W$1:$X$2</definedName>
    <definedName name="kr_4_2">[6]запуски!$AD$1:$AF$3</definedName>
    <definedName name="kr_41">[6]остановки!$AC$1:$AD$2</definedName>
    <definedName name="kr_42">[6]остановки!$AI$1:$AJ$2</definedName>
    <definedName name="kr_5">[6]остановки!$Y$1:$Z$2</definedName>
    <definedName name="kr_5_2">[6]запуски!$AG$1:$AI$3</definedName>
    <definedName name="kr_52">[6]остановки!$AK$1:$AL$2</definedName>
    <definedName name="kr_6">[6]остановки!$AA$1:$AB$2</definedName>
    <definedName name="kr_6_2">[6]запуски!$AJ$1:$AL$3</definedName>
    <definedName name="kr_62">[6]остановки!$AM$1:$AN$2</definedName>
    <definedName name="kr_7">[6]остановки!$AC$1:$AD$2</definedName>
    <definedName name="kr_7_2">#REF!</definedName>
    <definedName name="krit_1">[6]запуски!$U$1:$V$2</definedName>
    <definedName name="krit_2">[6]запуски!$X$1:$Y$2</definedName>
    <definedName name="krit_3">[6]запуски!$AA$1:$AB$2</definedName>
    <definedName name="krit_4">[6]запуски!$AD$1:$AE$2</definedName>
    <definedName name="krit_5">[6]запуски!$AG$1:$AH$2</definedName>
    <definedName name="krit_6">[6]запуски!$AJ$1:$AK$2</definedName>
    <definedName name="krit_7">#REF!</definedName>
    <definedName name="krit1_1" localSheetId="0">[6]запуски!#REF!</definedName>
    <definedName name="krit1_1">[6]запуски!#REF!</definedName>
    <definedName name="krit11" localSheetId="0">[6]запуски!#REF!</definedName>
    <definedName name="krit11">[6]запуски!#REF!</definedName>
    <definedName name="krit2_1" localSheetId="0">[6]запуски!#REF!</definedName>
    <definedName name="krit2_1">[6]запуски!#REF!</definedName>
    <definedName name="krit21" localSheetId="0">[6]запуски!#REF!</definedName>
    <definedName name="krit21">[6]запуски!#REF!</definedName>
    <definedName name="krit3_1" localSheetId="0">[6]запуски!#REF!</definedName>
    <definedName name="krit3_1">[6]запуски!#REF!</definedName>
    <definedName name="krit31" localSheetId="0">[6]запуски!#REF!</definedName>
    <definedName name="krit31">[6]запуски!#REF!</definedName>
    <definedName name="krit4_1" localSheetId="0">[6]запуски!#REF!</definedName>
    <definedName name="krit4_1">[6]запуски!#REF!</definedName>
    <definedName name="krit41" localSheetId="0">[6]запуски!#REF!</definedName>
    <definedName name="krit41">[6]запуски!#REF!</definedName>
    <definedName name="krit5_1" localSheetId="0">[6]запуски!#REF!</definedName>
    <definedName name="krit5_1">[6]запуски!#REF!</definedName>
    <definedName name="krit51" localSheetId="0">[6]запуски!#REF!</definedName>
    <definedName name="krit51">[6]запуски!#REF!</definedName>
    <definedName name="krit6_1" localSheetId="0">[6]запуски!#REF!</definedName>
    <definedName name="krit6_1">[6]запуски!#REF!</definedName>
    <definedName name="krit61" localSheetId="0">[6]запуски!#REF!</definedName>
    <definedName name="krit61">[6]запуски!#REF!</definedName>
    <definedName name="krit7">#REF!</definedName>
    <definedName name="krit7_1">#REF!</definedName>
    <definedName name="krit71">#REF!</definedName>
    <definedName name="krs">#REF!</definedName>
    <definedName name="krsvne">#REF!</definedName>
    <definedName name="Ks">#REF!</definedName>
    <definedName name="kt_22">[6]остановки!$AE$1:$AF$2</definedName>
    <definedName name="kukju">#REF!</definedName>
    <definedName name="kuku">#REF!</definedName>
    <definedName name="kuyy">[8]ИДН!$AJ$30</definedName>
    <definedName name="Kуст">[13]СКО!$D$83:$F$83</definedName>
    <definedName name="l">#REF!</definedName>
    <definedName name="L_нкт">[13]СКО!$M$100</definedName>
    <definedName name="layers">#REF!</definedName>
    <definedName name="lfnf" localSheetId="0">[4]июн!#REF!</definedName>
    <definedName name="lfnf">[4]июн!#REF!</definedName>
    <definedName name="liquid_level">#REF!</definedName>
    <definedName name="lk">#REF!</definedName>
    <definedName name="lkh">#REF!</definedName>
    <definedName name="lkj">#REF!</definedName>
    <definedName name="lkl">#REF!</definedName>
    <definedName name="ll">#REF!</definedName>
    <definedName name="llk">#REF!</definedName>
    <definedName name="llkk">#REF!</definedName>
    <definedName name="lll">#REF!</definedName>
    <definedName name="llll">#REF!</definedName>
    <definedName name="lllll">#REF!</definedName>
    <definedName name="llllll">#REF!</definedName>
    <definedName name="lllo">#REF!</definedName>
    <definedName name="lloo">#REF!</definedName>
    <definedName name="lo">#REF!</definedName>
    <definedName name="lol">#REF!</definedName>
    <definedName name="lolo">#REF!</definedName>
    <definedName name="lool">#REF!</definedName>
    <definedName name="Lнкт">[13]СКО!$M$97</definedName>
    <definedName name="m">#REF!</definedName>
    <definedName name="main2">[17]Лист2!$C$6:$DK$51</definedName>
    <definedName name="mh">#REF!</definedName>
    <definedName name="mhg">#REF!</definedName>
    <definedName name="mhu">#REF!</definedName>
    <definedName name="mjh">#REF!</definedName>
    <definedName name="mm">#REF!</definedName>
    <definedName name="mmm">#REF!</definedName>
    <definedName name="mmmm">#REF!</definedName>
    <definedName name="mmmmm">#REF!</definedName>
    <definedName name="mmmmmm">#REF!</definedName>
    <definedName name="mmn">#REF!</definedName>
    <definedName name="mn">#REF!</definedName>
    <definedName name="mnmn">#REF!</definedName>
    <definedName name="mt">mt</definedName>
    <definedName name="mv_buffer_pressure_mv" localSheetId="0">#REF!</definedName>
    <definedName name="mv_buffer_pressure_mv">#REF!</definedName>
    <definedName name="mv_casing_pressure_mv" localSheetId="0">#REF!</definedName>
    <definedName name="mv_casing_pressure_mv">#REF!</definedName>
    <definedName name="mv_ceh" localSheetId="0">#REF!</definedName>
    <definedName name="mv_ceh">#REF!</definedName>
    <definedName name="mv_day_mv" localSheetId="0">#REF!</definedName>
    <definedName name="mv_day_mv">#REF!</definedName>
    <definedName name="mv_dynam_level_calc" localSheetId="0">#REF!</definedName>
    <definedName name="mv_dynam_level_calc">#REF!</definedName>
    <definedName name="mv_dynam_level_mv" localSheetId="0">#REF!</definedName>
    <definedName name="mv_dynam_level_mv">#REF!</definedName>
    <definedName name="mv_event_date" localSheetId="0">#REF!</definedName>
    <definedName name="mv_event_date">#REF!</definedName>
    <definedName name="mv_field_name" localSheetId="0">#REF!</definedName>
    <definedName name="mv_field_name">#REF!</definedName>
    <definedName name="mv_force_mv" localSheetId="0">#REF!</definedName>
    <definedName name="mv_force_mv">#REF!</definedName>
    <definedName name="mv_iql_rate_mv" localSheetId="0">#REF!</definedName>
    <definedName name="mv_iql_rate_mv">#REF!</definedName>
    <definedName name="mv_ksl" localSheetId="0">#REF!</definedName>
    <definedName name="mv_ksl">#REF!</definedName>
    <definedName name="mv_kust_name" localSheetId="0">#REF!</definedName>
    <definedName name="mv_kust_name">#REF!</definedName>
    <definedName name="mv_line_pressure_mv" localSheetId="0">#REF!</definedName>
    <definedName name="mv_line_pressure_mv">#REF!</definedName>
    <definedName name="mv_liq_rate_calc" localSheetId="0">#REF!</definedName>
    <definedName name="mv_liq_rate_calc">#REF!</definedName>
    <definedName name="mv_liq_rate_sub" localSheetId="0">#REF!</definedName>
    <definedName name="mv_liq_rate_sub">#REF!</definedName>
    <definedName name="mv_oil_object" localSheetId="0">#REF!</definedName>
    <definedName name="mv_oil_object">#REF!</definedName>
    <definedName name="mv_oil_rate_calc" localSheetId="0">#REF!</definedName>
    <definedName name="mv_oil_rate_calc">#REF!</definedName>
    <definedName name="mv_oil_rate_mv" localSheetId="0">#REF!</definedName>
    <definedName name="mv_oil_rate_mv">#REF!</definedName>
    <definedName name="mv_oil_rate_sub" localSheetId="0">#REF!</definedName>
    <definedName name="mv_oil_rate_sub">#REF!</definedName>
    <definedName name="mv_outputer" localSheetId="0">#REF!</definedName>
    <definedName name="mv_outputer">#REF!</definedName>
    <definedName name="mv_pump_capacity" localSheetId="0">#REF!</definedName>
    <definedName name="mv_pump_capacity">#REF!</definedName>
    <definedName name="mv_pump_freq_calc" localSheetId="0">#REF!</definedName>
    <definedName name="mv_pump_freq_calc">#REF!</definedName>
    <definedName name="mv_pump_freq_mv" localSheetId="0">#REF!</definedName>
    <definedName name="mv_pump_freq_mv">#REF!</definedName>
    <definedName name="mv_pump_hsp" localSheetId="0">#REF!</definedName>
    <definedName name="mv_pump_hsp">#REF!</definedName>
    <definedName name="mv_pump_lift" localSheetId="0">#REF!</definedName>
    <definedName name="mv_pump_lift">#REF!</definedName>
    <definedName name="mv_pump_name" localSheetId="0">#REF!</definedName>
    <definedName name="mv_pump_name">#REF!</definedName>
    <definedName name="mv_region" localSheetId="0">#REF!</definedName>
    <definedName name="mv_region">#REF!</definedName>
    <definedName name="mv_start_date" localSheetId="0">#REF!</definedName>
    <definedName name="mv_start_date">#REF!</definedName>
    <definedName name="mv_w_status_type" localSheetId="0">#REF!</definedName>
    <definedName name="mv_w_status_type">#REF!</definedName>
    <definedName name="mv_watering_calc" localSheetId="0">#REF!</definedName>
    <definedName name="mv_watering_calc">#REF!</definedName>
    <definedName name="mv_watering_mv" localSheetId="0">#REF!</definedName>
    <definedName name="mv_watering_mv">#REF!</definedName>
    <definedName name="mv_well_name" localSheetId="0">#REF!</definedName>
    <definedName name="mv_well_name">#REF!</definedName>
    <definedName name="mv_workover_class_name" localSheetId="0">#REF!</definedName>
    <definedName name="mv_workover_class_name">#REF!</definedName>
    <definedName name="mv_workover_type_name" localSheetId="0">#REF!</definedName>
    <definedName name="mv_workover_type_name">#REF!</definedName>
    <definedName name="N">#REF!</definedName>
    <definedName name="N7mv_watering_calc" localSheetId="0">#REF!</definedName>
    <definedName name="N7mv_watering_calc">#REF!</definedName>
    <definedName name="nb">#REF!</definedName>
    <definedName name="nbbh">#REF!</definedName>
    <definedName name="nbnb">#REF!</definedName>
    <definedName name="nbnbn">#REF!</definedName>
    <definedName name="nfgdf">#REF!</definedName>
    <definedName name="ng">#REF!</definedName>
    <definedName name="nhghn">#REF!</definedName>
    <definedName name="nht">[8]ППД!$S$31</definedName>
    <definedName name="njb">[4]ИДН!$AA$20</definedName>
    <definedName name="nji">#REF!</definedName>
    <definedName name="njnj">[4]ГРП!$AM$20</definedName>
    <definedName name="njy1a" localSheetId="0">#REF!</definedName>
    <definedName name="njy1a">#REF!</definedName>
    <definedName name="njy1b" localSheetId="0">#REF!</definedName>
    <definedName name="njy1b">#REF!</definedName>
    <definedName name="njy2b" localSheetId="0">#REF!</definedName>
    <definedName name="njy2b">#REF!</definedName>
    <definedName name="njy3a" localSheetId="0">#REF!</definedName>
    <definedName name="njy3a">#REF!</definedName>
    <definedName name="njy3b" localSheetId="0">#REF!</definedName>
    <definedName name="njy3b">#REF!</definedName>
    <definedName name="njyy3" localSheetId="0">[4]июн!#REF!</definedName>
    <definedName name="njyy3">[4]июн!#REF!</definedName>
    <definedName name="nm">#REF!</definedName>
    <definedName name="nmnm">#REF!</definedName>
    <definedName name="nn">#REF!</definedName>
    <definedName name="nnb">#REF!</definedName>
    <definedName name="nnbb">#REF!</definedName>
    <definedName name="nnbbn">#REF!</definedName>
    <definedName name="nnbn">#REF!</definedName>
    <definedName name="nnbnb">#REF!</definedName>
    <definedName name="nngh" localSheetId="0">#REF!</definedName>
    <definedName name="nngh">#REF!</definedName>
    <definedName name="nnm">#REF!</definedName>
    <definedName name="nnmn">#REF!</definedName>
    <definedName name="nnn">#REF!</definedName>
    <definedName name="nnnn">#REF!</definedName>
    <definedName name="nnnnn">#REF!</definedName>
    <definedName name="nnnnnn">#REF!</definedName>
    <definedName name="Np">#REF!</definedName>
    <definedName name="og">#REF!</definedName>
    <definedName name="ol">#REF!</definedName>
    <definedName name="olll">#REF!</definedName>
    <definedName name="ollo">#REF!</definedName>
    <definedName name="olo">#REF!</definedName>
    <definedName name="olol">#REF!</definedName>
    <definedName name="ool">#REF!</definedName>
    <definedName name="ooll">#REF!</definedName>
    <definedName name="oool">#REF!</definedName>
    <definedName name="optim">#REF!</definedName>
    <definedName name="optimvne">#REF!</definedName>
    <definedName name="osg">#REF!</definedName>
    <definedName name="p">#REF!</definedName>
    <definedName name="Pb">#REF!</definedName>
    <definedName name="Pbuf">#REF!</definedName>
    <definedName name="Pcasing">#REF!</definedName>
    <definedName name="pd">#REF!</definedName>
    <definedName name="Perf_depth">#REF!</definedName>
    <definedName name="perf_MD">#REF!</definedName>
    <definedName name="perf_select">#REF!</definedName>
    <definedName name="perf_TVD">#REF!</definedName>
    <definedName name="Pf">#REF!</definedName>
    <definedName name="Pgc">#REF!</definedName>
    <definedName name="PMMLM">#REF!</definedName>
    <definedName name="Po">#REF!</definedName>
    <definedName name="Poi">#REF!</definedName>
    <definedName name="pp">'[18]JOE(для нов скв)'!$B$2</definedName>
    <definedName name="Ppr">#REF!</definedName>
    <definedName name="Pr">#REF!</definedName>
    <definedName name="props_prod">#REF!</definedName>
    <definedName name="prs">#REF!</definedName>
    <definedName name="prsvne">#REF!</definedName>
    <definedName name="Psep">#REF!</definedName>
    <definedName name="Psurf">#REF!</definedName>
    <definedName name="Pump_depth">#REF!</definedName>
    <definedName name="q">#REF!</definedName>
    <definedName name="Q1_" localSheetId="0">#REF!</definedName>
    <definedName name="Q1_">#REF!</definedName>
    <definedName name="qg">#REF!</definedName>
    <definedName name="Qgm" localSheetId="0">#REF!</definedName>
    <definedName name="Qgm">#REF!</definedName>
    <definedName name="Ql">#REF!</definedName>
    <definedName name="Qo">#REF!</definedName>
    <definedName name="qq">#REF!</definedName>
    <definedName name="qqq">#REF!</definedName>
    <definedName name="qqqq">#REF!</definedName>
    <definedName name="qqqqq">#REF!</definedName>
    <definedName name="qqqqqq">#REF!</definedName>
    <definedName name="qscf_cor">#REF!</definedName>
    <definedName name="re">re</definedName>
    <definedName name="rebb3" localSheetId="0">#REF!</definedName>
    <definedName name="rebb3">#REF!</definedName>
    <definedName name="red" localSheetId="0">#REF!</definedName>
    <definedName name="red">#REF!</definedName>
    <definedName name="red1a" localSheetId="0">#REF!</definedName>
    <definedName name="red1a">#REF!</definedName>
    <definedName name="red1b" localSheetId="0">#REF!</definedName>
    <definedName name="red1b">#REF!</definedName>
    <definedName name="red2b" localSheetId="0">#REF!</definedName>
    <definedName name="red2b">#REF!</definedName>
    <definedName name="red3a" localSheetId="0">#REF!</definedName>
    <definedName name="red3a">#REF!</definedName>
    <definedName name="red3b" localSheetId="0">#REF!</definedName>
    <definedName name="red3b">#REF!</definedName>
    <definedName name="REDA">REDA</definedName>
    <definedName name="RESEARCH_LANDING_DEPTH">#REF!</definedName>
    <definedName name="rfg">#REF!</definedName>
    <definedName name="rg">[8]БД!$B$28</definedName>
    <definedName name="rgg">#REF!</definedName>
    <definedName name="rgyh">[4]ИДН!$AN$20</definedName>
    <definedName name="rhj">#REF!</definedName>
    <definedName name="rht">#REF!</definedName>
    <definedName name="ro_o">#REF!</definedName>
    <definedName name="ro_w">#REF!</definedName>
    <definedName name="rr" localSheetId="0">[4]ТКРС!#REF!</definedName>
    <definedName name="rr">[4]ТКРС!#REF!</definedName>
    <definedName name="rrr">#REF!</definedName>
    <definedName name="rrrr">#REF!</definedName>
    <definedName name="rrrrr">#REF!</definedName>
    <definedName name="rrrrrr">#REF!</definedName>
    <definedName name="rrw">#REF!</definedName>
    <definedName name="Rs">'[19]4010(calc)'!$M$10</definedName>
    <definedName name="rty" localSheetId="0">[8]Ввод!#REF!</definedName>
    <definedName name="rty">[8]Ввод!#REF!</definedName>
    <definedName name="rw">[7]потенциал!$B$15</definedName>
    <definedName name="ry" localSheetId="0">[8]Ввод!#REF!</definedName>
    <definedName name="ry">[8]Ввод!#REF!</definedName>
    <definedName name="ryjv">#REF!</definedName>
    <definedName name="s">#REF!</definedName>
    <definedName name="sc">#REF!</definedName>
    <definedName name="schet1">'[4]Снижение производительности'!$C$65</definedName>
    <definedName name="Scw">#REF!</definedName>
    <definedName name="sd">#REF!</definedName>
    <definedName name="sdr">[8]ППД!$M$31</definedName>
    <definedName name="SG">#REF!</definedName>
    <definedName name="sgw">#REF!</definedName>
    <definedName name="So">#REF!</definedName>
    <definedName name="sogk">#REF!</definedName>
    <definedName name="Sor">#REF!</definedName>
    <definedName name="ss">#REF!</definedName>
    <definedName name="ssad">#REF!</definedName>
    <definedName name="ssda">#REF!</definedName>
    <definedName name="sss">#REF!</definedName>
    <definedName name="ssss">#REF!</definedName>
    <definedName name="sssss">#REF!</definedName>
    <definedName name="ssssss">#REF!</definedName>
    <definedName name="SUM">#REF!</definedName>
    <definedName name="Sw">#REF!</definedName>
    <definedName name="T">#REF!</definedName>
    <definedName name="T_ave">#REF!</definedName>
    <definedName name="T_F">#REF!</definedName>
    <definedName name="Tbh">#REF!</definedName>
    <definedName name="Tdepth">#REF!</definedName>
    <definedName name="tfg">#REF!</definedName>
    <definedName name="tgrad">#REF!</definedName>
    <definedName name="tht">#REF!</definedName>
    <definedName name="Tpr">#REF!</definedName>
    <definedName name="Tres">#REF!</definedName>
    <definedName name="Ts">#REF!</definedName>
    <definedName name="tt">#REF!</definedName>
    <definedName name="tth">'[8]Опт '!$J$15</definedName>
    <definedName name="ttt">#REF!</definedName>
    <definedName name="tttt">#REF!</definedName>
    <definedName name="ttttt">#REF!</definedName>
    <definedName name="tttttt">#REF!</definedName>
    <definedName name="Tubing_ID">#REF!</definedName>
    <definedName name="tubing_OD">#REF!</definedName>
    <definedName name="tyui88">#REF!</definedName>
    <definedName name="tyui99">[4]ГРП!$Y$20</definedName>
    <definedName name="u">#REF!</definedName>
    <definedName name="Udl">#REF!</definedName>
    <definedName name="uik">[8]ИДН!$F$30</definedName>
    <definedName name="ujk">#REF!</definedName>
    <definedName name="ukii">[8]ИДН!$H$30</definedName>
    <definedName name="ulb">#REF!</definedName>
    <definedName name="uu">#REF!</definedName>
    <definedName name="uuu">#REF!</definedName>
    <definedName name="uuuu">#REF!</definedName>
    <definedName name="uuuuu">#REF!</definedName>
    <definedName name="uuuuuu">#REF!</definedName>
    <definedName name="uy">#REF!</definedName>
    <definedName name="v">#REF!</definedName>
    <definedName name="vbggy">#REF!</definedName>
    <definedName name="vdf">#REF!</definedName>
    <definedName name="vf">#REF!</definedName>
    <definedName name="vfgh">'[4]Опт '!$X$17</definedName>
    <definedName name="vghyv">#REF!</definedName>
    <definedName name="vgtt">#REF!</definedName>
    <definedName name="vgyhg">#REF!</definedName>
    <definedName name="vjhvjh">#REF!</definedName>
    <definedName name="vv">#REF!</definedName>
    <definedName name="vva" localSheetId="0">[8]Ввод!#REF!</definedName>
    <definedName name="vva">[8]Ввод!#REF!</definedName>
    <definedName name="vvod">#REF!</definedName>
    <definedName name="vvodvne">#REF!</definedName>
    <definedName name="vvv">#REF!</definedName>
    <definedName name="vvvv">#REF!</definedName>
    <definedName name="vvvvv">#REF!</definedName>
    <definedName name="vvvvvv">#REF!</definedName>
    <definedName name="VYзадан">#REF!</definedName>
    <definedName name="Vв">#REF!</definedName>
    <definedName name="Vгл">#REF!</definedName>
    <definedName name="Vгл_общ">#REF!</definedName>
    <definedName name="Vзатр">[13]СКО!$M$109</definedName>
    <definedName name="Vзум">#REF!</definedName>
    <definedName name="Vкисл_">[13]СКО!$M$113</definedName>
    <definedName name="Vкисл_э_к">[13]СКО!$M$50</definedName>
    <definedName name="Vмет">[13]СКО!$M$106</definedName>
    <definedName name="Vн">#REF!</definedName>
    <definedName name="Vнкт">[13]СКО!$M$107</definedName>
    <definedName name="Vобщ">#REF!</definedName>
    <definedName name="Vок">[13]СКО!$M$108</definedName>
    <definedName name="Vотл">[13]СКО!$M$111</definedName>
    <definedName name="Vп_ЭК">#REF!</definedName>
    <definedName name="Vперв_ц" localSheetId="0">#REF!</definedName>
    <definedName name="Vперв_ц">#REF!</definedName>
    <definedName name="Vпр">[13]СКО!$M$110</definedName>
    <definedName name="Vскв">[13]СКО!$D$91</definedName>
    <definedName name="Vско">[13]СКО!$D$92</definedName>
    <definedName name="Vэк">#REF!</definedName>
    <definedName name="w">#REF!</definedName>
    <definedName name="WC">#REF!</definedName>
    <definedName name="Well_TD">#REF!</definedName>
    <definedName name="welldata">'[20]welldata frac analysis'!$C$10:$DW$1023</definedName>
    <definedName name="werr">#REF!</definedName>
    <definedName name="wew">#REF!</definedName>
    <definedName name="wewe" localSheetId="0">[8]Ввод!#REF!</definedName>
    <definedName name="wewe">[8]Ввод!#REF!</definedName>
    <definedName name="wfde">'[8]Опт '!$H$16</definedName>
    <definedName name="wg">#REF!</definedName>
    <definedName name="Winj">#REF!</definedName>
    <definedName name="ws">#REF!</definedName>
    <definedName name="wsp_buffer_pressure" localSheetId="0">#REF!</definedName>
    <definedName name="wsp_buffer_pressure">#REF!</definedName>
    <definedName name="wsp_casing_pressure" localSheetId="0">#REF!</definedName>
    <definedName name="wsp_casing_pressure">#REF!</definedName>
    <definedName name="wsp_ceh" localSheetId="0">#REF!</definedName>
    <definedName name="wsp_ceh">#REF!</definedName>
    <definedName name="wsp_comments" localSheetId="0">#REF!</definedName>
    <definedName name="wsp_comments">#REF!</definedName>
    <definedName name="wsp_dynam_level" localSheetId="0">#REF!</definedName>
    <definedName name="wsp_dynam_level">#REF!</definedName>
    <definedName name="wsp_event_date" localSheetId="0">#REF!</definedName>
    <definedName name="wsp_event_date">#REF!</definedName>
    <definedName name="wsp_field_name" localSheetId="0">#REF!</definedName>
    <definedName name="wsp_field_name">#REF!</definedName>
    <definedName name="wsp_kust_name" localSheetId="0">#REF!</definedName>
    <definedName name="wsp_kust_name">#REF!</definedName>
    <definedName name="wsp_line_pressure" localSheetId="0">#REF!</definedName>
    <definedName name="wsp_line_pressure">#REF!</definedName>
    <definedName name="wsp_liquid_rate" localSheetId="0">#REF!</definedName>
    <definedName name="wsp_liquid_rate">#REF!</definedName>
    <definedName name="wsp_mrp" localSheetId="0">#REF!</definedName>
    <definedName name="wsp_mrp">#REF!</definedName>
    <definedName name="wsp_oil_object" localSheetId="0">#REF!</definedName>
    <definedName name="wsp_oil_object">#REF!</definedName>
    <definedName name="wsp_oil_rate" localSheetId="0">#REF!</definedName>
    <definedName name="wsp_oil_rate">#REF!</definedName>
    <definedName name="wsp_prev_state" localSheetId="0">#REF!</definedName>
    <definedName name="wsp_prev_state">#REF!</definedName>
    <definedName name="wsp_pump_capacity" localSheetId="0">#REF!</definedName>
    <definedName name="wsp_pump_capacity">#REF!</definedName>
    <definedName name="wsp_pump_freq" localSheetId="0">#REF!</definedName>
    <definedName name="wsp_pump_freq">#REF!</definedName>
    <definedName name="wsp_pump_hsp" localSheetId="0">#REF!</definedName>
    <definedName name="wsp_pump_hsp">#REF!</definedName>
    <definedName name="wsp_pump_lift" localSheetId="0">#REF!</definedName>
    <definedName name="wsp_pump_lift">#REF!</definedName>
    <definedName name="wsp_pump_name" localSheetId="0">#REF!</definedName>
    <definedName name="wsp_pump_name">#REF!</definedName>
    <definedName name="wsp_region" localSheetId="0">#REF!</definedName>
    <definedName name="wsp_region">#REF!</definedName>
    <definedName name="wsp_stop_reason" localSheetId="0">#REF!</definedName>
    <definedName name="wsp_stop_reason">#REF!</definedName>
    <definedName name="wsp_uploader_name" localSheetId="0">#REF!</definedName>
    <definedName name="wsp_uploader_name">#REF!</definedName>
    <definedName name="wsp_watering" localSheetId="0">#REF!</definedName>
    <definedName name="wsp_watering">#REF!</definedName>
    <definedName name="wsp_well_name" localSheetId="0">#REF!</definedName>
    <definedName name="wsp_well_name">#REF!</definedName>
    <definedName name="wsp_wo_date_begin" localSheetId="0">#REF!</definedName>
    <definedName name="wsp_wo_date_begin">#REF!</definedName>
    <definedName name="wsp_workover_class_name" localSheetId="0">#REF!</definedName>
    <definedName name="wsp_workover_class_name">#REF!</definedName>
    <definedName name="wst_buffer_pressure" localSheetId="0">#REF!</definedName>
    <definedName name="wst_buffer_pressure">#REF!</definedName>
    <definedName name="wst_buffer_pressure_mv" localSheetId="0">#REF!</definedName>
    <definedName name="wst_buffer_pressure_mv">#REF!</definedName>
    <definedName name="wst_casing_pressure" localSheetId="0">#REF!</definedName>
    <definedName name="wst_casing_pressure">#REF!</definedName>
    <definedName name="wst_casing_pressure_mv" localSheetId="0">#REF!</definedName>
    <definedName name="wst_casing_pressure_mv">#REF!</definedName>
    <definedName name="wst_ceh" localSheetId="0">#REF!</definedName>
    <definedName name="wst_ceh">#REF!</definedName>
    <definedName name="wst_comments" localSheetId="0">#REF!</definedName>
    <definedName name="wst_comments">#REF!</definedName>
    <definedName name="wst_current_strength" localSheetId="0">#REF!</definedName>
    <definedName name="wst_current_strength">#REF!</definedName>
    <definedName name="wst_dynam_level" localSheetId="0">#REF!</definedName>
    <definedName name="wst_dynam_level">#REF!</definedName>
    <definedName name="wst_dynam_level_calc" localSheetId="0">#REF!</definedName>
    <definedName name="wst_dynam_level_calc">#REF!</definedName>
    <definedName name="wst_dynam_level_mv" localSheetId="0">#REF!</definedName>
    <definedName name="wst_dynam_level_mv">#REF!</definedName>
    <definedName name="wst_event_date" localSheetId="0">#REF!</definedName>
    <definedName name="wst_event_date">#REF!</definedName>
    <definedName name="wst_field_name" localSheetId="0">#REF!</definedName>
    <definedName name="wst_field_name">#REF!</definedName>
    <definedName name="wst_force_mv" localSheetId="0">#REF!</definedName>
    <definedName name="wst_force_mv">#REF!</definedName>
    <definedName name="wst_injection" localSheetId="0">#REF!</definedName>
    <definedName name="wst_injection">#REF!</definedName>
    <definedName name="wst_iql_rate_mv" localSheetId="0">#REF!</definedName>
    <definedName name="wst_iql_rate_mv">#REF!</definedName>
    <definedName name="wst_kust_name" localSheetId="0">#REF!</definedName>
    <definedName name="wst_kust_name">#REF!</definedName>
    <definedName name="wst_line_pressure" localSheetId="0">#REF!</definedName>
    <definedName name="wst_line_pressure">#REF!</definedName>
    <definedName name="wst_line_pressure_mv" localSheetId="0">#REF!</definedName>
    <definedName name="wst_line_pressure_mv">#REF!</definedName>
    <definedName name="wst_LIQ_RATE_AFTER_SMV">#REF!</definedName>
    <definedName name="wst_LIQ_RATE_AFTER_SUB_CALC" localSheetId="0">#REF!</definedName>
    <definedName name="wst_LIQ_RATE_AFTER_SUB_CALC">#REF!</definedName>
    <definedName name="wst_LIQ_RATE_AFTER_SUB_MOVE_OUT" localSheetId="0">#REF!</definedName>
    <definedName name="wst_LIQ_RATE_AFTER_SUB_MOVE_OUT">#REF!</definedName>
    <definedName name="wst_liq_rate_calc" localSheetId="0">#REF!</definedName>
    <definedName name="wst_liq_rate_calc">#REF!</definedName>
    <definedName name="wst_liquid_rate" localSheetId="0">#REF!</definedName>
    <definedName name="wst_liquid_rate">#REF!</definedName>
    <definedName name="wst_oil_object" localSheetId="0">#REF!</definedName>
    <definedName name="wst_oil_object">#REF!</definedName>
    <definedName name="wst_oil_rate" localSheetId="0">#REF!</definedName>
    <definedName name="wst_oil_rate">#REF!</definedName>
    <definedName name="wst_OIL_RATE_AFTER_SMV" localSheetId="0">#REF!</definedName>
    <definedName name="wst_OIL_RATE_AFTER_SMV">#REF!</definedName>
    <definedName name="wst_OIL_RATE_AFTER_SUB_CALC" localSheetId="0">#REF!</definedName>
    <definedName name="wst_OIL_RATE_AFTER_SUB_CALC">#REF!</definedName>
    <definedName name="wst_OIL_RATE_AFTER_SUB_MOVE_OUT" localSheetId="0">#REF!</definedName>
    <definedName name="wst_OIL_RATE_AFTER_SUB_MOVE_OUT">#REF!</definedName>
    <definedName name="wst_oil_rate_calc" localSheetId="0">#REF!</definedName>
    <definedName name="wst_oil_rate_calc">#REF!</definedName>
    <definedName name="wst_oil_rate_mv" localSheetId="0">#REF!</definedName>
    <definedName name="wst_oil_rate_mv">#REF!</definedName>
    <definedName name="wst_pump_capacity" localSheetId="0">#REF!</definedName>
    <definedName name="wst_pump_capacity">#REF!</definedName>
    <definedName name="wst_pump_freq" localSheetId="0">#REF!</definedName>
    <definedName name="wst_pump_freq">#REF!</definedName>
    <definedName name="wst_pump_freq_calc" localSheetId="0">#REF!</definedName>
    <definedName name="wst_pump_freq_calc">#REF!</definedName>
    <definedName name="wst_pump_freq_mv" localSheetId="0">#REF!</definedName>
    <definedName name="wst_pump_freq_mv">#REF!</definedName>
    <definedName name="wst_pump_hsp" localSheetId="0">#REF!</definedName>
    <definedName name="wst_pump_hsp">#REF!</definedName>
    <definedName name="wst_pump_lift" localSheetId="0">#REF!</definedName>
    <definedName name="wst_pump_lift">#REF!</definedName>
    <definedName name="wst_pump_name" localSheetId="0">#REF!</definedName>
    <definedName name="wst_pump_name">#REF!</definedName>
    <definedName name="wst_region" localSheetId="0">#REF!</definedName>
    <definedName name="wst_region">#REF!</definedName>
    <definedName name="wst_vfond" localSheetId="0">#REF!</definedName>
    <definedName name="wst_vfond">#REF!</definedName>
    <definedName name="wst_watering" localSheetId="0">#REF!</definedName>
    <definedName name="wst_watering">#REF!</definedName>
    <definedName name="wst_watering_calc" localSheetId="0">#REF!</definedName>
    <definedName name="wst_watering_calc">#REF!</definedName>
    <definedName name="wst_watering_mv" localSheetId="0">#REF!</definedName>
    <definedName name="wst_watering_mv">#REF!</definedName>
    <definedName name="wst_well_name" localSheetId="0">#REF!</definedName>
    <definedName name="wst_well_name">#REF!</definedName>
    <definedName name="wst_wo_class_name" localSheetId="0">#REF!</definedName>
    <definedName name="wst_wo_class_name">#REF!</definedName>
    <definedName name="wst_wo_type_name" localSheetId="0">#REF!</definedName>
    <definedName name="wst_wo_type_name">#REF!</definedName>
    <definedName name="wsx">#REF!</definedName>
    <definedName name="wsxd">'[8]Опт '!$J$16</definedName>
    <definedName name="ww">#REF!</definedName>
    <definedName name="www">#REF!</definedName>
    <definedName name="wwww">#REF!</definedName>
    <definedName name="wwwww">#REF!</definedName>
    <definedName name="wwwwww">#REF!</definedName>
    <definedName name="x">#REF!</definedName>
    <definedName name="xc">#REF!</definedName>
    <definedName name="xdt">#REF!</definedName>
    <definedName name="xrfg">#REF!</definedName>
    <definedName name="xrt">#REF!</definedName>
    <definedName name="xx">#REF!</definedName>
    <definedName name="xxx">#REF!</definedName>
    <definedName name="XXX1" localSheetId="0">[4]Остановл.!#REF!</definedName>
    <definedName name="XXX1">[4]Остановл.!#REF!</definedName>
    <definedName name="xxx10" localSheetId="0">'[4]Снижение производительности'!#REF!</definedName>
    <definedName name="xxx10">'[4]Снижение производительности'!#REF!</definedName>
    <definedName name="XXX2" localSheetId="0">[4]Остановл.!#REF!</definedName>
    <definedName name="XXX2">[4]Остановл.!#REF!</definedName>
    <definedName name="XXX3" localSheetId="0">[4]Остановл.!#REF!</definedName>
    <definedName name="XXX3">[4]Остановл.!#REF!</definedName>
    <definedName name="XXX4" localSheetId="0">[4]Остановл.!#REF!</definedName>
    <definedName name="XXX4">[4]Остановл.!#REF!</definedName>
    <definedName name="XXX5" localSheetId="0">[4]Остановл.!#REF!</definedName>
    <definedName name="XXX5">[4]Остановл.!#REF!</definedName>
    <definedName name="XXX6" localSheetId="0">[4]Остановл.!#REF!</definedName>
    <definedName name="XXX6">[4]Остановл.!#REF!</definedName>
    <definedName name="XXX7" localSheetId="0">[4]Остановл.!#REF!</definedName>
    <definedName name="XXX7">[4]Остановл.!#REF!</definedName>
    <definedName name="xxx8" localSheetId="0">'[4]Снижение производительности'!#REF!</definedName>
    <definedName name="xxx8">'[4]Снижение производительности'!#REF!</definedName>
    <definedName name="xxx9" localSheetId="0">'[4]Снижение производительности'!#REF!</definedName>
    <definedName name="xxx9">'[4]Снижение производительности'!#REF!</definedName>
    <definedName name="xxxx">#REF!</definedName>
    <definedName name="xxxxx">#REF!</definedName>
    <definedName name="xxxxxx">#REF!</definedName>
    <definedName name="xyjm">#REF!</definedName>
    <definedName name="y" localSheetId="0">#REF!</definedName>
    <definedName name="y">#REF!</definedName>
    <definedName name="yjh" localSheetId="0">[8]БД!#REF!</definedName>
    <definedName name="yjh">[8]БД!#REF!</definedName>
    <definedName name="yjy" localSheetId="0">[8]БД!#REF!</definedName>
    <definedName name="yjy">[8]БД!#REF!</definedName>
    <definedName name="yk">#REF!</definedName>
    <definedName name="yrt" localSheetId="0">[8]Ввод!#REF!</definedName>
    <definedName name="yrt">[8]Ввод!#REF!</definedName>
    <definedName name="yu" localSheetId="0">[8]БД!#REF!</definedName>
    <definedName name="yu">[8]БД!#REF!</definedName>
    <definedName name="yuik98">#REF!</definedName>
    <definedName name="yuk">#REF!</definedName>
    <definedName name="yy">#REF!</definedName>
    <definedName name="yyy">#REF!</definedName>
    <definedName name="yyyy">#REF!</definedName>
    <definedName name="yyyyy">#REF!</definedName>
    <definedName name="yyyyyy">#REF!</definedName>
    <definedName name="Yзадан">#REF!</definedName>
    <definedName name="z">#REF!</definedName>
    <definedName name="zz">#REF!</definedName>
    <definedName name="zzz">#REF!</definedName>
    <definedName name="ZZZ1">#REF!</definedName>
    <definedName name="zzz10" localSheetId="0">'[4]Снижение производительности'!#REF!</definedName>
    <definedName name="zzz10">'[4]Снижение производительности'!#REF!</definedName>
    <definedName name="ZZZ2">#REF!</definedName>
    <definedName name="ZZZ3">#REF!</definedName>
    <definedName name="ZZZ4">#REF!</definedName>
    <definedName name="ZZZ5">#REF!</definedName>
    <definedName name="ZZZ6">#REF!</definedName>
    <definedName name="ZZZ7">#REF!</definedName>
    <definedName name="zzz8" localSheetId="0">'[4]Снижение производительности'!#REF!</definedName>
    <definedName name="zzz8">'[4]Снижение производительности'!#REF!</definedName>
    <definedName name="zzz9" localSheetId="0">'[4]Снижение производительности'!#REF!</definedName>
    <definedName name="zzz9">'[4]Снижение производительности'!#REF!</definedName>
    <definedName name="zzzz">#REF!</definedName>
    <definedName name="zzzzz">#REF!</definedName>
    <definedName name="zzzzzz">#REF!</definedName>
    <definedName name="а" localSheetId="0">#REF!</definedName>
    <definedName name="а">#REF!</definedName>
    <definedName name="А3">#REF!</definedName>
    <definedName name="а66">#REF!</definedName>
    <definedName name="аfg" localSheetId="0">[8]Ввод!#REF!</definedName>
    <definedName name="аfg">[8]Ввод!#REF!</definedName>
    <definedName name="аа">[21]Лист3!$Y$11</definedName>
    <definedName name="аааааа" localSheetId="0">#REF!</definedName>
    <definedName name="аааааа">#REF!</definedName>
    <definedName name="ав" localSheetId="0">#REF!</definedName>
    <definedName name="ав">#REF!</definedName>
    <definedName name="анализ">#REF!</definedName>
    <definedName name="апр">#REF!</definedName>
    <definedName name="арпонрлонл">арпонрлонл</definedName>
    <definedName name="Б9">#REF!</definedName>
    <definedName name="БЛ">#REF!</definedName>
    <definedName name="бло">#REF!</definedName>
    <definedName name="бь">#REF!</definedName>
    <definedName name="бьб">#REF!</definedName>
    <definedName name="бьт">#REF!</definedName>
    <definedName name="бю">#REF!</definedName>
    <definedName name="в_ц">#REF!</definedName>
    <definedName name="В_Ю11" localSheetId="0">'[22]Расчет Рзаб и Кпр'!#REF!</definedName>
    <definedName name="В_Ю11">'[22]Расчет Рзаб и Кпр'!#REF!</definedName>
    <definedName name="ВАП" localSheetId="0">[5]ДП!#REF!</definedName>
    <definedName name="ВАП">[5]ДП!#REF!</definedName>
    <definedName name="вв">[23]остановки!$T$1:$U$3</definedName>
    <definedName name="ввв">'[24]Анализ динамики'!$C$8:$F$40</definedName>
    <definedName name="Версия" localSheetId="0">'[25]3.97'!#REF!</definedName>
    <definedName name="Версия">'[25]3.97'!#REF!</definedName>
    <definedName name="верх">[13]СКО!$M$92</definedName>
    <definedName name="ВНК" localSheetId="0">[26]СКО!#REF!</definedName>
    <definedName name="ВНК">[26]СКО!#REF!</definedName>
    <definedName name="вода" localSheetId="0">[27]ВАХ_Ю11!#REF!</definedName>
    <definedName name="вода">[27]ВАХ_Ю11!#REF!</definedName>
    <definedName name="вп">#REF!</definedName>
    <definedName name="вт_ур" localSheetId="0">#REF!</definedName>
    <definedName name="вт_ур">#REF!</definedName>
    <definedName name="вт_ц">#REF!</definedName>
    <definedName name="ВЦ">#REF!</definedName>
    <definedName name="вы" localSheetId="0">#REF!</definedName>
    <definedName name="вы">#REF!</definedName>
    <definedName name="выолооо">#REF!</definedName>
    <definedName name="ГДИ">#REF!</definedName>
    <definedName name="глубина_спуска">#REF!</definedName>
    <definedName name="д" localSheetId="0">#REF!</definedName>
    <definedName name="д">#REF!</definedName>
    <definedName name="Дата" localSheetId="0">'[25]3.97'!#REF!</definedName>
    <definedName name="Дата">'[25]3.97'!#REF!</definedName>
    <definedName name="дб">#REF!</definedName>
    <definedName name="дл">#REF!</definedName>
    <definedName name="ДобычаСалым">[28]Февраль!$E$3:$E$33</definedName>
    <definedName name="З_П" localSheetId="0">'[27]З_П  А1,А2'!#REF!</definedName>
    <definedName name="З_П">'[27]З_П  А1,А2'!#REF!</definedName>
    <definedName name="Запас">#REF!</definedName>
    <definedName name="Заполнение" localSheetId="0">'[25]3.97'!#REF!</definedName>
    <definedName name="Заполнение">'[25]3.97'!#REF!</definedName>
    <definedName name="зВЦ">#REF!</definedName>
    <definedName name="ЗЖ">#REF!</definedName>
    <definedName name="зПЦ">#REF!</definedName>
    <definedName name="зТЦ">#REF!</definedName>
    <definedName name="зЧЦ">#REF!</definedName>
    <definedName name="и" localSheetId="0">#REF!</definedName>
    <definedName name="и">#REF!</definedName>
    <definedName name="й">#REF!</definedName>
    <definedName name="ййй" localSheetId="0">'[4]Снижение производительности'!#REF!</definedName>
    <definedName name="ййй">'[4]Снижение производительности'!#REF!</definedName>
    <definedName name="иить">#REF!</definedName>
    <definedName name="имрпапронплонп">#REF!</definedName>
    <definedName name="инф.">NA()</definedName>
    <definedName name="ип">#REF!</definedName>
    <definedName name="ирол">#REF!</definedName>
    <definedName name="ит">#REF!</definedName>
    <definedName name="итьб">#REF!</definedName>
    <definedName name="ию" localSheetId="0">#REF!</definedName>
    <definedName name="ию">#REF!</definedName>
    <definedName name="кенг88">#REF!</definedName>
    <definedName name="кер99">#REF!</definedName>
    <definedName name="Количество_циклов_прям">#REF!</definedName>
    <definedName name="КороткиеСутки">[28]Февраль!$F$1</definedName>
    <definedName name="Коэффициент_1" localSheetId="0">'[25]3.97'!#REF!</definedName>
    <definedName name="Коэффициент_1">'[25]3.97'!#REF!</definedName>
    <definedName name="кп">#REF!</definedName>
    <definedName name="крит_1">#REF!</definedName>
    <definedName name="КРС">[23]остановки!$AK$1:$AL$2</definedName>
    <definedName name="Куст">[13]СКО!$E$83</definedName>
    <definedName name="КЦ">#REF!</definedName>
    <definedName name="КЦзадан">#REF!</definedName>
    <definedName name="л">#REF!</definedName>
    <definedName name="лж">[23]остановки!$Q$1:$R$3</definedName>
    <definedName name="лл">#REF!</definedName>
    <definedName name="ллдддььь">ллдддььь</definedName>
    <definedName name="ллл">#REF!</definedName>
    <definedName name="лло">#REF!</definedName>
    <definedName name="ло">#REF!</definedName>
    <definedName name="м" localSheetId="0">#REF!</definedName>
    <definedName name="м">#REF!</definedName>
    <definedName name="М_Ю" localSheetId="0">[27]М_Ю!#REF!</definedName>
    <definedName name="М_Ю">[27]М_Ю!#REF!</definedName>
    <definedName name="ма" localSheetId="0">#REF!</definedName>
    <definedName name="ма">#REF!</definedName>
    <definedName name="май">#REF!</definedName>
    <definedName name="Макрос13">[29]Макрос1!$A$1</definedName>
    <definedName name="Макрос2">#REF!</definedName>
    <definedName name="Местор">[13]СКО!$E$82</definedName>
    <definedName name="мип">#REF!</definedName>
    <definedName name="ММ">{#N/A,#N/A,FALSE,"ZAP_FEB.XLS "}</definedName>
    <definedName name="ммм" localSheetId="0">#REF!</definedName>
    <definedName name="ммм">#REF!</definedName>
    <definedName name="Мотл">[13]СКО!$M$112</definedName>
    <definedName name="мсв">#REF!</definedName>
    <definedName name="н" localSheetId="0">#REF!</definedName>
    <definedName name="н">#REF!</definedName>
    <definedName name="Н_Б10" localSheetId="0">[27]Н_В_Б10!#REF!</definedName>
    <definedName name="Н_Б10">[27]Н_В_Б10!#REF!</definedName>
    <definedName name="наташа">#REF!</definedName>
    <definedName name="Нвор">[13]СКО!$M$94</definedName>
    <definedName name="НЕТ">#REF!</definedName>
    <definedName name="Ни">[13]СКО!$M$91</definedName>
    <definedName name="низ">[13]СКО!$M$93</definedName>
    <definedName name="Нип">[13]СКО!$M$105</definedName>
    <definedName name="Ниск">#REF!</definedName>
    <definedName name="НКТ_вн">[13]СКО!$M$99</definedName>
    <definedName name="НКТ_нар">[13]СКО!$M$98</definedName>
    <definedName name="НКТ1">#REF!</definedName>
    <definedName name="НКТ2">#REF!</definedName>
    <definedName name="НКТвн">[13]СКО!$M$96</definedName>
    <definedName name="НКТнар">[13]СКО!$M$95</definedName>
    <definedName name="нн">#REF!</definedName>
    <definedName name="но" localSheetId="0">#REF!</definedName>
    <definedName name="но">#REF!</definedName>
    <definedName name="Нскв">#REF!</definedName>
    <definedName name="Нсп">#REF!</definedName>
    <definedName name="Нт">#REF!</definedName>
    <definedName name="о" localSheetId="0">#REF!</definedName>
    <definedName name="о">#REF!</definedName>
    <definedName name="оапоааеокано" localSheetId="0">[14]Сутки!#REF!</definedName>
    <definedName name="оапоааеокано">[14]Сутки!#REF!</definedName>
    <definedName name="_xlnm.Print_Area" localSheetId="2">Мероприятия_отчет!$A$1:$CF$272</definedName>
    <definedName name="_xlnm.Print_Area" localSheetId="3">Мероприятия_план!$A$1:$AG$178</definedName>
    <definedName name="_xlnm.Print_Area" localSheetId="0">'РАСЧЕТ (ИЗМ)'!$A$6:$K$161</definedName>
    <definedName name="_xlnm.Print_Area" localSheetId="1">'Сетевой график (план)'!$A$1:$AH$296</definedName>
    <definedName name="Объем_НКТ_1">#REF!</definedName>
    <definedName name="Объем_НКТ_2">#REF!</definedName>
    <definedName name="один" localSheetId="0">[30]июл!#REF!</definedName>
    <definedName name="один">[30]июл!#REF!</definedName>
    <definedName name="оКЦ">#REF!</definedName>
    <definedName name="ол">#REF!</definedName>
    <definedName name="ООL3" localSheetId="0">#REF!</definedName>
    <definedName name="ООL3">#REF!</definedName>
    <definedName name="ооап" localSheetId="0">#REF!</definedName>
    <definedName name="ооап">#REF!</definedName>
    <definedName name="оонр">#REF!</definedName>
    <definedName name="оперативка">([31]стат.пар!$N$4:$N$12,[31]стат.пар!$N$16:$N$24,[31]стат.пар!$N$27:$N$35,[31]стат.пар!$N$38:$N$48,[31]стат.пар!$N$52:$N$55,[31]стат.пар!$N$57:$N$61,[31]стат.пар!$N$63:$N$64)</definedName>
    <definedName name="ор">#REF!</definedName>
    <definedName name="ораорполлжщо">#REF!</definedName>
    <definedName name="оро">#REF!</definedName>
    <definedName name="орп">#REF!</definedName>
    <definedName name="ост.">#REF!</definedName>
    <definedName name="От.">От.</definedName>
    <definedName name="ОТЧЕТ_REDA">ОТЧЕТ_REDA</definedName>
    <definedName name="оь" localSheetId="0">#REF!</definedName>
    <definedName name="оь">#REF!</definedName>
    <definedName name="п_ц">#REF!</definedName>
    <definedName name="П_Ю1" localSheetId="0">[27]З_П_Ю1!#REF!</definedName>
    <definedName name="П_Ю1">[27]З_П_Ю1!#REF!</definedName>
    <definedName name="пар">#REF!</definedName>
    <definedName name="пВЦ">#REF!</definedName>
    <definedName name="перв_ур" localSheetId="0">#REF!</definedName>
    <definedName name="перв_ур">#REF!</definedName>
    <definedName name="перв_ц">#REF!</definedName>
    <definedName name="пл">#REF!</definedName>
    <definedName name="Пл.01.02.">Пл.01.02.</definedName>
    <definedName name="Плотность">[32]апр.!$A$3</definedName>
    <definedName name="Погл">#REF!</definedName>
    <definedName name="ПОР">[13]СКО!$M$104</definedName>
    <definedName name="ппд">[23]запуски!$W$2:$W$3</definedName>
    <definedName name="ппппп">#REF!</definedName>
    <definedName name="пПЦ">#REF!</definedName>
    <definedName name="ПРОСТ.2">ПРОСТ.2</definedName>
    <definedName name="прп">#REF!</definedName>
    <definedName name="пТЦ">#REF!</definedName>
    <definedName name="ПЦ">#REF!</definedName>
    <definedName name="пЧЦ">#REF!</definedName>
    <definedName name="пя_ц">#REF!</definedName>
    <definedName name="пят_ур" localSheetId="0">#REF!</definedName>
    <definedName name="пят_ур">#REF!</definedName>
    <definedName name="пят_ц">#REF!</definedName>
    <definedName name="ра">ра</definedName>
    <definedName name="Рассчет_добычи" localSheetId="0">'[25]3.97'!#REF!</definedName>
    <definedName name="Рассчет_добычи">'[25]3.97'!#REF!</definedName>
    <definedName name="Рассчет_по_пластам_1" localSheetId="0">'[25]3.97'!#REF!</definedName>
    <definedName name="Рассчет_по_пластам_1">'[25]3.97'!#REF!</definedName>
    <definedName name="Рассчет_эксплуатации" localSheetId="0">'[25]3.97'!#REF!</definedName>
    <definedName name="Рассчет_эксплуатации">'[25]3.97'!#REF!</definedName>
    <definedName name="Расх">#REF!</definedName>
    <definedName name="расход">#REF!</definedName>
    <definedName name="рол">#REF!</definedName>
    <definedName name="роот">#REF!</definedName>
    <definedName name="рор">#REF!</definedName>
    <definedName name="рост">#REF!</definedName>
    <definedName name="рот">#REF!</definedName>
    <definedName name="рп">#REF!</definedName>
    <definedName name="Рпл" localSheetId="0">[26]СКО!#REF!</definedName>
    <definedName name="Рпл">[26]СКО!#REF!</definedName>
    <definedName name="рр">#REF!</definedName>
    <definedName name="с" localSheetId="0">#REF!</definedName>
    <definedName name="с">#REF!</definedName>
    <definedName name="С_Б8" localSheetId="0">[27]сов_Б!#REF!</definedName>
    <definedName name="С_Б8">[27]сов_Б!#REF!</definedName>
    <definedName name="сав">#REF!</definedName>
    <definedName name="св">#REF!</definedName>
    <definedName name="света">#REF!</definedName>
    <definedName name="Скв">[13]СКО!$E$85</definedName>
    <definedName name="Скважина">[13]СКО!$D$85:$F$85</definedName>
    <definedName name="см">#REF!</definedName>
    <definedName name="сссссс">#REF!</definedName>
    <definedName name="т">т</definedName>
    <definedName name="т_ц">#REF!</definedName>
    <definedName name="тбь">#REF!</definedName>
    <definedName name="Текст1_Щелкнуть">Текст1_Щелкнуть</definedName>
    <definedName name="Теор_вес">#REF!</definedName>
    <definedName name="тии">#REF!</definedName>
    <definedName name="тмр">#REF!</definedName>
    <definedName name="тор">#REF!</definedName>
    <definedName name="Тпл">[13]СКО!$M$103</definedName>
    <definedName name="тр">#REF!</definedName>
    <definedName name="тр_ур" localSheetId="0">#REF!</definedName>
    <definedName name="тр_ур">#REF!</definedName>
    <definedName name="тр_ц">#REF!</definedName>
    <definedName name="тто">#REF!</definedName>
    <definedName name="ттот">#REF!</definedName>
    <definedName name="ттт">#REF!</definedName>
    <definedName name="ТЦ">#REF!</definedName>
    <definedName name="ть">#REF!</definedName>
    <definedName name="тьбьбь">#REF!</definedName>
    <definedName name="уВЦ">#REF!</definedName>
    <definedName name="уд_вес">#REF!</definedName>
    <definedName name="уПЦ">#REF!</definedName>
    <definedName name="уТЦ">#REF!</definedName>
    <definedName name="уЧЦ">#REF!</definedName>
    <definedName name="ф" localSheetId="0">#REF!</definedName>
    <definedName name="ф">#REF!</definedName>
    <definedName name="ф20" localSheetId="0">[33]Остановки!#REF!</definedName>
    <definedName name="ф20">[33]Остановки!#REF!</definedName>
    <definedName name="ф21" localSheetId="0">[34]Остановки!#REF!</definedName>
    <definedName name="ф21">[34]Остановки!#REF!</definedName>
    <definedName name="фон21" localSheetId="0">[4]июн!#REF!</definedName>
    <definedName name="фон21">[4]июн!#REF!</definedName>
    <definedName name="Цех" localSheetId="0">'[25]5.97'!#REF!</definedName>
    <definedName name="Цех">'[25]5.97'!#REF!</definedName>
    <definedName name="ч_ц">#REF!</definedName>
    <definedName name="Ч_Ю1" localSheetId="0">[27]ЧК_Ю1!#REF!</definedName>
    <definedName name="Ч_Ю1">[27]ЧК_Ю1!#REF!</definedName>
    <definedName name="четв_ур" localSheetId="0">#REF!</definedName>
    <definedName name="четв_ур">#REF!</definedName>
    <definedName name="четв_ц">#REF!</definedName>
    <definedName name="ЧЦ">#REF!</definedName>
    <definedName name="ыва" localSheetId="0">#REF!</definedName>
    <definedName name="ыва">#REF!</definedName>
    <definedName name="ь" localSheetId="0">#REF!</definedName>
    <definedName name="ь">#REF!</definedName>
    <definedName name="ьб">#REF!</definedName>
    <definedName name="ьо">#REF!</definedName>
    <definedName name="ьорр">#REF!</definedName>
    <definedName name="ьь">#REF!</definedName>
    <definedName name="ььло">#REF!</definedName>
    <definedName name="ЭК">#REF!</definedName>
    <definedName name="ЭКв">#REF!</definedName>
    <definedName name="ЭКвн">[13]СКО!$M$101</definedName>
    <definedName name="ЭКн">#REF!</definedName>
    <definedName name="ю.">#REF!</definedName>
    <definedName name="ю_ОТМ">[16]стат.пар!$B$71:$M$84</definedName>
    <definedName name="юб">#REF!</definedName>
    <definedName name="юд">#REF!</definedName>
    <definedName name="я" localSheetId="0">#REF!</definedName>
    <definedName name="я">#REF!</definedName>
  </definedNames>
  <calcPr calcId="145621" calcOnSave="0"/>
</workbook>
</file>

<file path=xl/calcChain.xml><?xml version="1.0" encoding="utf-8"?>
<calcChain xmlns="http://schemas.openxmlformats.org/spreadsheetml/2006/main">
  <c r="BR157" i="1" l="1"/>
  <c r="BR183" i="1"/>
  <c r="K12" i="9" l="1"/>
  <c r="H12" i="9"/>
  <c r="G12" i="9"/>
  <c r="G139" i="9"/>
  <c r="H139" i="9"/>
  <c r="K139" i="9"/>
  <c r="E140" i="9"/>
  <c r="F140" i="9"/>
  <c r="G140" i="9"/>
  <c r="I140" i="9"/>
  <c r="H102" i="9"/>
  <c r="K102" i="9" s="1"/>
  <c r="H101" i="9"/>
  <c r="K101" i="9" s="1"/>
  <c r="H100" i="9"/>
  <c r="K100" i="9" s="1"/>
  <c r="H99" i="9"/>
  <c r="K99" i="9" s="1"/>
  <c r="H98" i="9"/>
  <c r="K98" i="9" s="1"/>
  <c r="H97" i="9"/>
  <c r="K97" i="9" s="1"/>
  <c r="H93" i="9"/>
  <c r="K93" i="9" s="1"/>
  <c r="H92" i="9"/>
  <c r="K92" i="9" s="1"/>
  <c r="H91" i="9"/>
  <c r="K91" i="9" s="1"/>
  <c r="H90" i="9"/>
  <c r="K90" i="9" s="1"/>
  <c r="H89" i="9"/>
  <c r="K89" i="9" s="1"/>
  <c r="H88" i="9"/>
  <c r="K88" i="9" s="1"/>
  <c r="D13" i="9"/>
  <c r="E13" i="9"/>
  <c r="K17" i="9"/>
  <c r="K16" i="9"/>
  <c r="H17" i="9"/>
  <c r="G17" i="9"/>
  <c r="H16" i="9"/>
  <c r="G16" i="9"/>
  <c r="H121" i="9"/>
  <c r="H120" i="9"/>
  <c r="H119" i="9"/>
  <c r="H118" i="9"/>
  <c r="H117" i="9"/>
  <c r="H116" i="9"/>
  <c r="J124" i="9"/>
  <c r="J123" i="9"/>
  <c r="J122" i="9"/>
  <c r="F124" i="9"/>
  <c r="E124" i="9"/>
  <c r="F123" i="9"/>
  <c r="E123" i="9"/>
  <c r="F122" i="9"/>
  <c r="E122" i="9"/>
  <c r="J149" i="9"/>
  <c r="F149" i="9"/>
  <c r="F146" i="9" s="1"/>
  <c r="H140" i="9" l="1"/>
  <c r="H124" i="9"/>
  <c r="H123" i="9"/>
  <c r="H122" i="9"/>
  <c r="K50" i="6"/>
  <c r="AD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C35" i="5"/>
  <c r="AC71" i="5"/>
  <c r="AD53" i="5"/>
  <c r="J13" i="9"/>
  <c r="AH64" i="5"/>
  <c r="J142" i="9" s="1"/>
  <c r="J140" i="9" s="1"/>
  <c r="K140" i="9" s="1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C53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C52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C34" i="5"/>
  <c r="K103" i="9"/>
  <c r="AF48" i="6"/>
  <c r="AF53" i="6" s="1"/>
  <c r="AG100" i="6"/>
  <c r="AF98" i="6"/>
  <c r="AF97" i="6"/>
  <c r="AF96" i="6"/>
  <c r="H48" i="6"/>
  <c r="G48" i="6"/>
  <c r="K49" i="6" s="1"/>
  <c r="BP48" i="6"/>
  <c r="H96" i="6"/>
  <c r="G96" i="6"/>
  <c r="BP96" i="6"/>
  <c r="BP103" i="6" s="1"/>
  <c r="G98" i="6"/>
  <c r="G97" i="6"/>
  <c r="BP100" i="6"/>
  <c r="BP99" i="6"/>
  <c r="BP98" i="6"/>
  <c r="BP97" i="6"/>
  <c r="AD100" i="6"/>
  <c r="AD99" i="6"/>
  <c r="AE99" i="6" s="1"/>
  <c r="AF99" i="6" s="1"/>
  <c r="AG99" i="6" s="1"/>
  <c r="AD98" i="6"/>
  <c r="AE98" i="6" s="1"/>
  <c r="AD97" i="6"/>
  <c r="AE97" i="6" s="1"/>
  <c r="AD96" i="6"/>
  <c r="AE96" i="6" s="1"/>
  <c r="S103" i="6" s="1"/>
  <c r="G8" i="6"/>
  <c r="AE48" i="6"/>
  <c r="D154" i="9"/>
  <c r="BT183" i="1"/>
  <c r="AZ157" i="1"/>
  <c r="BT157" i="1"/>
  <c r="BR163" i="1"/>
  <c r="BR162" i="1"/>
  <c r="AZ183" i="1"/>
  <c r="AF103" i="6" l="1"/>
  <c r="AG48" i="6"/>
  <c r="BP52" i="6"/>
  <c r="AH53" i="5"/>
  <c r="BP53" i="6"/>
  <c r="J104" i="9" s="1"/>
  <c r="BP102" i="6"/>
  <c r="C143" i="5"/>
  <c r="D143" i="5" s="1"/>
  <c r="E143" i="5" s="1"/>
  <c r="F143" i="5" s="1"/>
  <c r="G143" i="5" s="1"/>
  <c r="H143" i="5" s="1"/>
  <c r="I143" i="5" s="1"/>
  <c r="J143" i="5" s="1"/>
  <c r="K143" i="5" s="1"/>
  <c r="L143" i="5" s="1"/>
  <c r="M143" i="5" s="1"/>
  <c r="N143" i="5" s="1"/>
  <c r="O143" i="5" s="1"/>
  <c r="P143" i="5" s="1"/>
  <c r="Q143" i="5" s="1"/>
  <c r="R143" i="5" s="1"/>
  <c r="S143" i="5" s="1"/>
  <c r="T143" i="5" s="1"/>
  <c r="U143" i="5" s="1"/>
  <c r="V143" i="5" s="1"/>
  <c r="W143" i="5" s="1"/>
  <c r="X143" i="5" s="1"/>
  <c r="Y143" i="5" s="1"/>
  <c r="Z143" i="5" s="1"/>
  <c r="AA143" i="5" s="1"/>
  <c r="AB143" i="5" s="1"/>
  <c r="AC143" i="5" s="1"/>
  <c r="AD143" i="5" s="1"/>
  <c r="AE143" i="5" s="1"/>
  <c r="AF143" i="5" s="1"/>
  <c r="BR188" i="1"/>
  <c r="E103" i="9" s="1"/>
  <c r="BR189" i="1"/>
  <c r="E104" i="9" s="1"/>
  <c r="BT162" i="1"/>
  <c r="BT163" i="1"/>
  <c r="BT189" i="1"/>
  <c r="BT188" i="1"/>
  <c r="F103" i="9" s="1"/>
  <c r="G183" i="1"/>
  <c r="G157" i="1"/>
  <c r="H157" i="1"/>
  <c r="BB157" i="1" s="1"/>
  <c r="F68" i="9"/>
  <c r="F67" i="9"/>
  <c r="AL157" i="1"/>
  <c r="AO157" i="1" s="1"/>
  <c r="F104" i="9" l="1"/>
  <c r="J103" i="9"/>
  <c r="BC157" i="1"/>
  <c r="AF157" i="1" l="1"/>
  <c r="AG157" i="1" s="1"/>
  <c r="A157" i="1" s="1"/>
  <c r="B163" i="1" s="1"/>
  <c r="F71" i="9"/>
  <c r="F27" i="9"/>
  <c r="E72" i="9"/>
  <c r="AL183" i="1"/>
  <c r="AM183" i="1" s="1"/>
  <c r="AG183" i="1"/>
  <c r="T189" i="1" s="1"/>
  <c r="E95" i="9" s="1"/>
  <c r="AG9" i="1"/>
  <c r="K153" i="9"/>
  <c r="K151" i="9"/>
  <c r="K150" i="9"/>
  <c r="K149" i="9"/>
  <c r="K148" i="9"/>
  <c r="K147" i="9"/>
  <c r="K145" i="9"/>
  <c r="K144" i="9"/>
  <c r="K143" i="9"/>
  <c r="K142" i="9"/>
  <c r="K141" i="9"/>
  <c r="K133" i="9"/>
  <c r="K127" i="9"/>
  <c r="K126" i="9"/>
  <c r="K125" i="9"/>
  <c r="K112" i="9"/>
  <c r="K109" i="9"/>
  <c r="K106" i="9"/>
  <c r="K84" i="9"/>
  <c r="K83" i="9"/>
  <c r="H153" i="9"/>
  <c r="H152" i="9"/>
  <c r="H151" i="9"/>
  <c r="H150" i="9"/>
  <c r="H148" i="9"/>
  <c r="H147" i="9"/>
  <c r="H145" i="9"/>
  <c r="H144" i="9"/>
  <c r="H143" i="9"/>
  <c r="H142" i="9"/>
  <c r="H141" i="9"/>
  <c r="H133" i="9"/>
  <c r="H132" i="9"/>
  <c r="H131" i="9"/>
  <c r="H127" i="9"/>
  <c r="H126" i="9"/>
  <c r="H125" i="9"/>
  <c r="H112" i="9"/>
  <c r="H111" i="9"/>
  <c r="H110" i="9"/>
  <c r="H109" i="9"/>
  <c r="H108" i="9"/>
  <c r="H107" i="9"/>
  <c r="H106" i="9"/>
  <c r="H84" i="9"/>
  <c r="H83" i="9"/>
  <c r="G153" i="9"/>
  <c r="G152" i="9"/>
  <c r="G151" i="9"/>
  <c r="G150" i="9"/>
  <c r="G149" i="9"/>
  <c r="G148" i="9"/>
  <c r="G147" i="9"/>
  <c r="G146" i="9"/>
  <c r="G145" i="9"/>
  <c r="G144" i="9"/>
  <c r="G143" i="9"/>
  <c r="G142" i="9"/>
  <c r="G141" i="9"/>
  <c r="G133" i="9"/>
  <c r="G132" i="9"/>
  <c r="G131" i="9"/>
  <c r="G127" i="9"/>
  <c r="G126" i="9"/>
  <c r="G125" i="9"/>
  <c r="G112" i="9"/>
  <c r="G110" i="9"/>
  <c r="G109" i="9"/>
  <c r="G108" i="9"/>
  <c r="G107" i="9"/>
  <c r="G106" i="9"/>
  <c r="G105" i="9"/>
  <c r="G104" i="9"/>
  <c r="G103" i="9"/>
  <c r="G96" i="9"/>
  <c r="G95" i="9"/>
  <c r="G94" i="9"/>
  <c r="G84" i="9"/>
  <c r="G83" i="9"/>
  <c r="G11" i="9"/>
  <c r="D4" i="5"/>
  <c r="E4" i="5" s="1"/>
  <c r="F4" i="5" s="1"/>
  <c r="G4" i="5" s="1"/>
  <c r="H4" i="5" s="1"/>
  <c r="I4" i="5" s="1"/>
  <c r="J4" i="5" s="1"/>
  <c r="K4" i="5" s="1"/>
  <c r="L4" i="5" s="1"/>
  <c r="M4" i="5" s="1"/>
  <c r="N4" i="5" s="1"/>
  <c r="O4" i="5" s="1"/>
  <c r="P4" i="5" s="1"/>
  <c r="Q4" i="5" s="1"/>
  <c r="R4" i="5" s="1"/>
  <c r="S4" i="5" s="1"/>
  <c r="T4" i="5" s="1"/>
  <c r="U4" i="5" s="1"/>
  <c r="V4" i="5" s="1"/>
  <c r="W4" i="5" s="1"/>
  <c r="X4" i="5" s="1"/>
  <c r="Y4" i="5" s="1"/>
  <c r="Z4" i="5" s="1"/>
  <c r="AA4" i="5" s="1"/>
  <c r="AB4" i="5" s="1"/>
  <c r="AC4" i="5" s="1"/>
  <c r="AD4" i="5" s="1"/>
  <c r="I26" i="9"/>
  <c r="I24" i="9"/>
  <c r="I23" i="9"/>
  <c r="D26" i="9"/>
  <c r="D24" i="9"/>
  <c r="D23" i="9"/>
  <c r="D52" i="9"/>
  <c r="B103" i="6"/>
  <c r="Y189" i="1" l="1"/>
  <c r="F95" i="9" s="1"/>
  <c r="H95" i="9" s="1"/>
  <c r="K95" i="9" s="1"/>
  <c r="AO162" i="1"/>
  <c r="G87" i="9"/>
  <c r="G86" i="9"/>
  <c r="G85" i="9"/>
  <c r="G68" i="9"/>
  <c r="I157" i="9"/>
  <c r="D157" i="9"/>
  <c r="I154" i="9"/>
  <c r="D156" i="9"/>
  <c r="E149" i="9"/>
  <c r="H149" i="9" s="1"/>
  <c r="J146" i="9"/>
  <c r="I146" i="9"/>
  <c r="J134" i="9"/>
  <c r="I134" i="9"/>
  <c r="F134" i="9"/>
  <c r="I132" i="9"/>
  <c r="F115" i="9"/>
  <c r="G115" i="9" s="1"/>
  <c r="E115" i="9"/>
  <c r="F114" i="9"/>
  <c r="G114" i="9" s="1"/>
  <c r="E114" i="9"/>
  <c r="F113" i="9"/>
  <c r="G113" i="9" s="1"/>
  <c r="E113" i="9"/>
  <c r="G111" i="9"/>
  <c r="G71" i="9"/>
  <c r="G67" i="9"/>
  <c r="I54" i="9"/>
  <c r="I22" i="9" s="1"/>
  <c r="D54" i="9"/>
  <c r="I52" i="9"/>
  <c r="I20" i="9" s="1"/>
  <c r="I51" i="9"/>
  <c r="D51" i="9"/>
  <c r="I37" i="9"/>
  <c r="F35" i="9"/>
  <c r="G35" i="9" s="1"/>
  <c r="I29" i="9"/>
  <c r="A99" i="6"/>
  <c r="G99" i="6"/>
  <c r="G103" i="6" s="1"/>
  <c r="H99" i="6"/>
  <c r="A48" i="6"/>
  <c r="H53" i="6" s="1"/>
  <c r="J35" i="9"/>
  <c r="K35" i="9" s="1"/>
  <c r="F72" i="9"/>
  <c r="AZ9" i="1"/>
  <c r="AN183" i="1"/>
  <c r="AN189" i="1" s="1"/>
  <c r="AO183" i="1"/>
  <c r="AO188" i="1" s="1"/>
  <c r="AL9" i="1"/>
  <c r="AO9" i="1" s="1"/>
  <c r="AL8" i="1"/>
  <c r="AO8" i="1" s="1"/>
  <c r="AH183" i="1"/>
  <c r="AI183" i="1" s="1"/>
  <c r="BW183" i="1"/>
  <c r="H183" i="1"/>
  <c r="BC183" i="1" s="1"/>
  <c r="BC203" i="1" s="1"/>
  <c r="A183" i="1"/>
  <c r="A9" i="1"/>
  <c r="G9" i="1"/>
  <c r="H9" i="1"/>
  <c r="B2" i="6"/>
  <c r="AG98" i="6"/>
  <c r="BU98" i="6" s="1"/>
  <c r="A98" i="6"/>
  <c r="H98" i="6"/>
  <c r="CA98" i="6" s="1"/>
  <c r="AG97" i="6"/>
  <c r="BU97" i="6" s="1"/>
  <c r="A97" i="6"/>
  <c r="H97" i="6"/>
  <c r="AG123" i="6"/>
  <c r="BU123" i="6" s="1"/>
  <c r="AF82" i="6"/>
  <c r="AG82" i="6"/>
  <c r="A8" i="1"/>
  <c r="AE8" i="6"/>
  <c r="A8" i="6" s="1"/>
  <c r="H8" i="6"/>
  <c r="J27" i="9" s="1"/>
  <c r="K27" i="9" s="1"/>
  <c r="D19" i="5"/>
  <c r="AE23" i="6"/>
  <c r="AE22" i="6"/>
  <c r="I16" i="5" s="1"/>
  <c r="AE20" i="6"/>
  <c r="AE67" i="6"/>
  <c r="L14" i="5" s="1"/>
  <c r="AE66" i="6"/>
  <c r="AE65" i="6"/>
  <c r="U15" i="5" s="1"/>
  <c r="K105" i="9"/>
  <c r="D21" i="5"/>
  <c r="AE83" i="6"/>
  <c r="AE82" i="6"/>
  <c r="P25" i="5" s="1"/>
  <c r="E19" i="5"/>
  <c r="E21" i="5"/>
  <c r="F19" i="5"/>
  <c r="F21" i="5"/>
  <c r="G19" i="5"/>
  <c r="G21" i="5"/>
  <c r="H19" i="5"/>
  <c r="H21" i="5"/>
  <c r="I19" i="5"/>
  <c r="I21" i="5"/>
  <c r="J19" i="5"/>
  <c r="J21" i="5"/>
  <c r="K19" i="5"/>
  <c r="K11" i="5"/>
  <c r="K21" i="5"/>
  <c r="L19" i="5"/>
  <c r="L21" i="5"/>
  <c r="M19" i="5"/>
  <c r="M21" i="5"/>
  <c r="N19" i="5"/>
  <c r="N21" i="5"/>
  <c r="O19" i="5"/>
  <c r="O21" i="5"/>
  <c r="P19" i="5"/>
  <c r="P21" i="5"/>
  <c r="Q19" i="5"/>
  <c r="Q21" i="5"/>
  <c r="R19" i="5"/>
  <c r="R21" i="5"/>
  <c r="S19" i="5"/>
  <c r="S21" i="5"/>
  <c r="T19" i="5"/>
  <c r="T21" i="5"/>
  <c r="U19" i="5"/>
  <c r="U21" i="5"/>
  <c r="V19" i="5"/>
  <c r="V21" i="5"/>
  <c r="W19" i="5"/>
  <c r="W21" i="5"/>
  <c r="X19" i="5"/>
  <c r="X21" i="5"/>
  <c r="Y19" i="5"/>
  <c r="Y21" i="5"/>
  <c r="Z19" i="5"/>
  <c r="Z21" i="5"/>
  <c r="AA19" i="5"/>
  <c r="AA21" i="5"/>
  <c r="AB19" i="5"/>
  <c r="AB21" i="5"/>
  <c r="AC19" i="5"/>
  <c r="AC21" i="5"/>
  <c r="AD19" i="5"/>
  <c r="AD21" i="5"/>
  <c r="AZ8" i="1"/>
  <c r="AZ88" i="1"/>
  <c r="BB88" i="1" s="1"/>
  <c r="AZ89" i="1"/>
  <c r="BB89" i="1" s="1"/>
  <c r="AZ90" i="1"/>
  <c r="BC90" i="1" s="1"/>
  <c r="AZ92" i="1"/>
  <c r="BA92" i="1" s="1"/>
  <c r="AZ100" i="1"/>
  <c r="BA100" i="1" s="1"/>
  <c r="AZ101" i="1"/>
  <c r="BA101" i="1" s="1"/>
  <c r="AZ102" i="1"/>
  <c r="BB102" i="1" s="1"/>
  <c r="AZ50" i="1"/>
  <c r="AZ54" i="1" s="1"/>
  <c r="AZ29" i="1"/>
  <c r="BA29" i="1" s="1"/>
  <c r="AZ30" i="1"/>
  <c r="BA30" i="1" s="1"/>
  <c r="AZ22" i="1"/>
  <c r="BB22" i="1" s="1"/>
  <c r="AZ24" i="1"/>
  <c r="BB24" i="1" s="1"/>
  <c r="AZ25" i="1"/>
  <c r="BA25" i="1" s="1"/>
  <c r="AZ232" i="1"/>
  <c r="BA232" i="1" s="1"/>
  <c r="AZ233" i="1"/>
  <c r="BA233" i="1" s="1"/>
  <c r="AZ35" i="1"/>
  <c r="AZ36" i="1"/>
  <c r="BA36" i="1" s="1"/>
  <c r="AZ117" i="1"/>
  <c r="BA117" i="1" s="1"/>
  <c r="AZ118" i="1"/>
  <c r="AZ119" i="1" s="1"/>
  <c r="AZ108" i="1"/>
  <c r="AZ109" i="1"/>
  <c r="BC109" i="1" s="1"/>
  <c r="BC113" i="1" s="1"/>
  <c r="AZ254" i="1"/>
  <c r="BA254" i="1" s="1"/>
  <c r="AZ255" i="1"/>
  <c r="AZ244" i="1"/>
  <c r="AZ245" i="1"/>
  <c r="BA245" i="1" s="1"/>
  <c r="AZ246" i="1"/>
  <c r="BA246" i="1" s="1"/>
  <c r="AZ247" i="1"/>
  <c r="BB247" i="1" s="1"/>
  <c r="AZ205" i="1"/>
  <c r="BA205" i="1" s="1"/>
  <c r="AZ206" i="1"/>
  <c r="BA206" i="1" s="1"/>
  <c r="AZ207" i="1"/>
  <c r="BA207" i="1" s="1"/>
  <c r="AZ208" i="1"/>
  <c r="BC208" i="1" s="1"/>
  <c r="AZ209" i="1"/>
  <c r="CB209" i="1" s="1"/>
  <c r="AZ210" i="1"/>
  <c r="BB210" i="1" s="1"/>
  <c r="AZ211" i="1"/>
  <c r="BA211" i="1" s="1"/>
  <c r="AZ212" i="1"/>
  <c r="BA212" i="1" s="1"/>
  <c r="AZ213" i="1"/>
  <c r="BA213" i="1" s="1"/>
  <c r="AZ217" i="1"/>
  <c r="BB217" i="1" s="1"/>
  <c r="AZ218" i="1"/>
  <c r="BA218" i="1" s="1"/>
  <c r="AZ192" i="1"/>
  <c r="BB192" i="1" s="1"/>
  <c r="AZ57" i="1"/>
  <c r="CB57" i="1" s="1"/>
  <c r="CB67" i="1" s="1"/>
  <c r="AZ58" i="1"/>
  <c r="BA58" i="1" s="1"/>
  <c r="AZ59" i="1"/>
  <c r="BB59" i="1" s="1"/>
  <c r="AZ60" i="1"/>
  <c r="BA60" i="1" s="1"/>
  <c r="AZ61" i="1"/>
  <c r="BA61" i="1" s="1"/>
  <c r="L2" i="6"/>
  <c r="A2" i="6"/>
  <c r="AH88" i="1"/>
  <c r="AI88" i="1"/>
  <c r="AN88" i="1"/>
  <c r="B2" i="1"/>
  <c r="B67" i="1"/>
  <c r="H88" i="1"/>
  <c r="C45" i="5"/>
  <c r="C49" i="5"/>
  <c r="D45" i="5"/>
  <c r="D49" i="5"/>
  <c r="E45" i="5"/>
  <c r="E49" i="5"/>
  <c r="F45" i="5"/>
  <c r="F49" i="5"/>
  <c r="G45" i="5"/>
  <c r="G49" i="5"/>
  <c r="H45" i="5"/>
  <c r="H49" i="5"/>
  <c r="I45" i="5"/>
  <c r="I49" i="5"/>
  <c r="J45" i="5"/>
  <c r="J49" i="5"/>
  <c r="K45" i="5"/>
  <c r="K49" i="5"/>
  <c r="L45" i="5"/>
  <c r="L49" i="5"/>
  <c r="M45" i="5"/>
  <c r="M49" i="5"/>
  <c r="N45" i="5"/>
  <c r="N49" i="5"/>
  <c r="O45" i="5"/>
  <c r="O49" i="5"/>
  <c r="P45" i="5"/>
  <c r="P49" i="5"/>
  <c r="Q45" i="5"/>
  <c r="Q49" i="5"/>
  <c r="R45" i="5"/>
  <c r="R49" i="5"/>
  <c r="S45" i="5"/>
  <c r="S49" i="5"/>
  <c r="T45" i="5"/>
  <c r="T49" i="5"/>
  <c r="U45" i="5"/>
  <c r="U49" i="5"/>
  <c r="V45" i="5"/>
  <c r="V49" i="5"/>
  <c r="W45" i="5"/>
  <c r="W49" i="5"/>
  <c r="X45" i="5"/>
  <c r="X49" i="5"/>
  <c r="Y45" i="5"/>
  <c r="Y49" i="5"/>
  <c r="Z45" i="5"/>
  <c r="Z49" i="5"/>
  <c r="AA45" i="5"/>
  <c r="AA49" i="5"/>
  <c r="AB45" i="5"/>
  <c r="AB49" i="5"/>
  <c r="AC45" i="5"/>
  <c r="AC49" i="5"/>
  <c r="AD45" i="5"/>
  <c r="AD49" i="5"/>
  <c r="AE246" i="5"/>
  <c r="AE137" i="5"/>
  <c r="C21" i="5"/>
  <c r="AE132" i="6"/>
  <c r="J23" i="5" s="1"/>
  <c r="C29" i="5"/>
  <c r="AE157" i="6"/>
  <c r="I31" i="5" s="1"/>
  <c r="C19" i="5"/>
  <c r="D29" i="5"/>
  <c r="E29" i="5"/>
  <c r="F29" i="5"/>
  <c r="G29" i="5"/>
  <c r="H29" i="5"/>
  <c r="I29" i="5"/>
  <c r="J29" i="5"/>
  <c r="K23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3" i="5"/>
  <c r="AC29" i="5"/>
  <c r="AD29" i="5"/>
  <c r="C20" i="5"/>
  <c r="C28" i="5"/>
  <c r="C18" i="5"/>
  <c r="C44" i="5"/>
  <c r="C48" i="5"/>
  <c r="D20" i="5"/>
  <c r="D28" i="5"/>
  <c r="D18" i="5"/>
  <c r="D44" i="5"/>
  <c r="D48" i="5"/>
  <c r="E10" i="5"/>
  <c r="E20" i="5"/>
  <c r="E28" i="5"/>
  <c r="E18" i="5"/>
  <c r="E44" i="5"/>
  <c r="E48" i="5"/>
  <c r="F20" i="5"/>
  <c r="F22" i="5"/>
  <c r="F28" i="5"/>
  <c r="F18" i="5"/>
  <c r="F44" i="5"/>
  <c r="F48" i="5"/>
  <c r="G20" i="5"/>
  <c r="G22" i="5"/>
  <c r="G28" i="5"/>
  <c r="G30" i="5"/>
  <c r="G18" i="5"/>
  <c r="G44" i="5"/>
  <c r="G48" i="5"/>
  <c r="H20" i="5"/>
  <c r="H22" i="5"/>
  <c r="H28" i="5"/>
  <c r="H18" i="5"/>
  <c r="H44" i="5"/>
  <c r="H48" i="5"/>
  <c r="I10" i="5"/>
  <c r="I20" i="5"/>
  <c r="I22" i="5"/>
  <c r="I28" i="5"/>
  <c r="I18" i="5"/>
  <c r="I44" i="5"/>
  <c r="I48" i="5"/>
  <c r="J20" i="5"/>
  <c r="J28" i="5"/>
  <c r="J30" i="5"/>
  <c r="J18" i="5"/>
  <c r="J44" i="5"/>
  <c r="J48" i="5"/>
  <c r="K20" i="5"/>
  <c r="K22" i="5"/>
  <c r="K28" i="5"/>
  <c r="K18" i="5"/>
  <c r="K44" i="5"/>
  <c r="K48" i="5"/>
  <c r="L20" i="5"/>
  <c r="L28" i="5"/>
  <c r="L18" i="5"/>
  <c r="L44" i="5"/>
  <c r="L48" i="5"/>
  <c r="M14" i="5"/>
  <c r="M20" i="5"/>
  <c r="M22" i="5"/>
  <c r="M28" i="5"/>
  <c r="M18" i="5"/>
  <c r="M44" i="5"/>
  <c r="M48" i="5"/>
  <c r="N20" i="5"/>
  <c r="N22" i="5"/>
  <c r="N28" i="5"/>
  <c r="N18" i="5"/>
  <c r="N44" i="5"/>
  <c r="N48" i="5"/>
  <c r="O20" i="5"/>
  <c r="O28" i="5"/>
  <c r="O30" i="5"/>
  <c r="O18" i="5"/>
  <c r="O44" i="5"/>
  <c r="O48" i="5"/>
  <c r="P20" i="5"/>
  <c r="P22" i="5"/>
  <c r="P28" i="5"/>
  <c r="P30" i="5"/>
  <c r="P18" i="5"/>
  <c r="P44" i="5"/>
  <c r="P48" i="5"/>
  <c r="Q20" i="5"/>
  <c r="Q28" i="5"/>
  <c r="Q18" i="5"/>
  <c r="Q44" i="5"/>
  <c r="Q48" i="5"/>
  <c r="R20" i="5"/>
  <c r="R28" i="5"/>
  <c r="R18" i="5"/>
  <c r="R44" i="5"/>
  <c r="R48" i="5"/>
  <c r="S20" i="5"/>
  <c r="S22" i="5"/>
  <c r="S28" i="5"/>
  <c r="S18" i="5"/>
  <c r="S44" i="5"/>
  <c r="S48" i="5"/>
  <c r="T20" i="5"/>
  <c r="T22" i="5"/>
  <c r="T28" i="5"/>
  <c r="T18" i="5"/>
  <c r="T44" i="5"/>
  <c r="T48" i="5"/>
  <c r="U20" i="5"/>
  <c r="U22" i="5"/>
  <c r="U24" i="5"/>
  <c r="U28" i="5"/>
  <c r="U18" i="5"/>
  <c r="U44" i="5"/>
  <c r="U48" i="5"/>
  <c r="V20" i="5"/>
  <c r="V22" i="5"/>
  <c r="V28" i="5"/>
  <c r="V18" i="5"/>
  <c r="V44" i="5"/>
  <c r="V48" i="5"/>
  <c r="W20" i="5"/>
  <c r="W22" i="5"/>
  <c r="W28" i="5"/>
  <c r="W30" i="5"/>
  <c r="W18" i="5"/>
  <c r="W44" i="5"/>
  <c r="W48" i="5"/>
  <c r="X20" i="5"/>
  <c r="X22" i="5"/>
  <c r="X28" i="5"/>
  <c r="X30" i="5"/>
  <c r="X18" i="5"/>
  <c r="X44" i="5"/>
  <c r="X48" i="5"/>
  <c r="Y20" i="5"/>
  <c r="Y22" i="5"/>
  <c r="Y28" i="5"/>
  <c r="Y30" i="5"/>
  <c r="Y18" i="5"/>
  <c r="Y44" i="5"/>
  <c r="Y48" i="5"/>
  <c r="Z20" i="5"/>
  <c r="Z22" i="5"/>
  <c r="Z28" i="5"/>
  <c r="Z18" i="5"/>
  <c r="Z44" i="5"/>
  <c r="Z48" i="5"/>
  <c r="AA20" i="5"/>
  <c r="AA22" i="5"/>
  <c r="AA28" i="5"/>
  <c r="AA18" i="5"/>
  <c r="AA44" i="5"/>
  <c r="AA48" i="5"/>
  <c r="AB20" i="5"/>
  <c r="AB22" i="5"/>
  <c r="AB28" i="5"/>
  <c r="AB18" i="5"/>
  <c r="AB44" i="5"/>
  <c r="AB48" i="5"/>
  <c r="AC20" i="5"/>
  <c r="AC22" i="5"/>
  <c r="AC28" i="5"/>
  <c r="AC30" i="5"/>
  <c r="AC18" i="5"/>
  <c r="AC44" i="5"/>
  <c r="AC48" i="5"/>
  <c r="AD20" i="5"/>
  <c r="AD22" i="5"/>
  <c r="AD24" i="5"/>
  <c r="AD28" i="5"/>
  <c r="AD30" i="5"/>
  <c r="AD18" i="5"/>
  <c r="AD44" i="5"/>
  <c r="AD48" i="5"/>
  <c r="AG64" i="6"/>
  <c r="BU64" i="6" s="1"/>
  <c r="AG65" i="6"/>
  <c r="AG66" i="6"/>
  <c r="BU66" i="6" s="1"/>
  <c r="AG67" i="6"/>
  <c r="BU67" i="6" s="1"/>
  <c r="AG68" i="6"/>
  <c r="AG96" i="6"/>
  <c r="AG166" i="6"/>
  <c r="AG167" i="6"/>
  <c r="BU167" i="6" s="1"/>
  <c r="AG168" i="6"/>
  <c r="BU168" i="6" s="1"/>
  <c r="AG169" i="6"/>
  <c r="BU169" i="6" s="1"/>
  <c r="AG170" i="6"/>
  <c r="BU170" i="6" s="1"/>
  <c r="AG53" i="6"/>
  <c r="AG83" i="6"/>
  <c r="BU83" i="6" s="1"/>
  <c r="AG164" i="6"/>
  <c r="AG94" i="6"/>
  <c r="H67" i="6"/>
  <c r="H68" i="6"/>
  <c r="H69" i="6"/>
  <c r="J25" i="6"/>
  <c r="J31" i="6" s="1"/>
  <c r="J46" i="6"/>
  <c r="CA97" i="6"/>
  <c r="H82" i="6"/>
  <c r="H156" i="6"/>
  <c r="H132" i="6"/>
  <c r="H91" i="6"/>
  <c r="C2" i="5"/>
  <c r="AN89" i="1"/>
  <c r="BS89" i="1" s="1"/>
  <c r="AN90" i="1"/>
  <c r="BS90" i="1" s="1"/>
  <c r="AN92" i="1"/>
  <c r="BS92" i="1" s="1"/>
  <c r="AN218" i="1"/>
  <c r="BS218" i="1" s="1"/>
  <c r="AN219" i="1"/>
  <c r="BS219" i="1" s="1"/>
  <c r="AN226" i="1"/>
  <c r="BS226" i="1" s="1"/>
  <c r="AN227" i="1"/>
  <c r="BS227" i="1" s="1"/>
  <c r="AN228" i="1"/>
  <c r="BS228" i="1" s="1"/>
  <c r="BA118" i="1"/>
  <c r="BA255" i="1"/>
  <c r="BA209" i="1"/>
  <c r="BA50" i="1"/>
  <c r="BA54" i="1" s="1"/>
  <c r="BA22" i="1"/>
  <c r="A2" i="1"/>
  <c r="L2" i="1"/>
  <c r="L157" i="1" s="1"/>
  <c r="B20" i="1"/>
  <c r="H8" i="1"/>
  <c r="S129" i="6"/>
  <c r="BB19" i="1"/>
  <c r="AL22" i="1"/>
  <c r="BB118" i="1"/>
  <c r="Y114" i="1"/>
  <c r="BB245" i="1"/>
  <c r="AL192" i="1"/>
  <c r="G129" i="6"/>
  <c r="BV100" i="6"/>
  <c r="H33" i="1"/>
  <c r="E36" i="9" s="1"/>
  <c r="H90" i="1"/>
  <c r="H91" i="1"/>
  <c r="J91" i="1" s="1"/>
  <c r="H92" i="1"/>
  <c r="J92" i="1" s="1"/>
  <c r="H93" i="1"/>
  <c r="J93" i="1" s="1"/>
  <c r="H94" i="1"/>
  <c r="I94" i="1" s="1"/>
  <c r="H95" i="1"/>
  <c r="H22" i="1"/>
  <c r="H27" i="1" s="1"/>
  <c r="H109" i="1"/>
  <c r="I109" i="1" s="1"/>
  <c r="I113" i="1" s="1"/>
  <c r="H205" i="1"/>
  <c r="CD205" i="1" s="1"/>
  <c r="H207" i="1"/>
  <c r="J207" i="1" s="1"/>
  <c r="H208" i="1"/>
  <c r="I208" i="1" s="1"/>
  <c r="H209" i="1"/>
  <c r="J209" i="1" s="1"/>
  <c r="I202" i="1"/>
  <c r="H57" i="1"/>
  <c r="BX47" i="1"/>
  <c r="AI205" i="1"/>
  <c r="AI206" i="1"/>
  <c r="AI207" i="1"/>
  <c r="AI208" i="1"/>
  <c r="AI209" i="1"/>
  <c r="AI210" i="1"/>
  <c r="AI211" i="1"/>
  <c r="AI212" i="1"/>
  <c r="AI89" i="1"/>
  <c r="AI90" i="1"/>
  <c r="BX90" i="1" s="1"/>
  <c r="AI92" i="1"/>
  <c r="AI97" i="1" s="1"/>
  <c r="AI137" i="1"/>
  <c r="AI262" i="1"/>
  <c r="BX66" i="1"/>
  <c r="BX74" i="1" s="1"/>
  <c r="H67" i="1"/>
  <c r="BW47" i="1"/>
  <c r="E86" i="9" s="1"/>
  <c r="BW100" i="1"/>
  <c r="BW261" i="1"/>
  <c r="BW271" i="1"/>
  <c r="AF83" i="6"/>
  <c r="AE170" i="6"/>
  <c r="AF170" i="6" s="1"/>
  <c r="AE169" i="6"/>
  <c r="A169" i="6" s="1"/>
  <c r="AE168" i="6"/>
  <c r="A168" i="6" s="1"/>
  <c r="AE167" i="6"/>
  <c r="A167" i="6" s="1"/>
  <c r="AE166" i="6"/>
  <c r="A166" i="6" s="1"/>
  <c r="S154" i="6"/>
  <c r="S94" i="6"/>
  <c r="G22" i="1"/>
  <c r="BB50" i="1"/>
  <c r="BB54" i="1" s="1"/>
  <c r="AL50" i="1"/>
  <c r="AP54" i="1"/>
  <c r="AP32" i="1"/>
  <c r="AO54" i="1"/>
  <c r="CB54" i="1" s="1"/>
  <c r="AL217" i="1"/>
  <c r="AZ219" i="1"/>
  <c r="BA219" i="1" s="1"/>
  <c r="AZ220" i="1"/>
  <c r="BC220" i="1" s="1"/>
  <c r="AZ221" i="1"/>
  <c r="BA221" i="1" s="1"/>
  <c r="AZ222" i="1"/>
  <c r="AZ223" i="1"/>
  <c r="BA223" i="1" s="1"/>
  <c r="AZ224" i="1"/>
  <c r="BA224" i="1" s="1"/>
  <c r="AZ225" i="1"/>
  <c r="BA225" i="1" s="1"/>
  <c r="AZ226" i="1"/>
  <c r="BB226" i="1" s="1"/>
  <c r="AZ227" i="1"/>
  <c r="BA227" i="1" s="1"/>
  <c r="AZ228" i="1"/>
  <c r="BB228" i="1" s="1"/>
  <c r="AF246" i="5"/>
  <c r="AZ82" i="1"/>
  <c r="BA82" i="1" s="1"/>
  <c r="BA84" i="1" s="1"/>
  <c r="C68" i="5"/>
  <c r="G132" i="6"/>
  <c r="G143" i="6" s="1"/>
  <c r="AG143" i="6"/>
  <c r="AF143" i="6"/>
  <c r="B143" i="6"/>
  <c r="BS143" i="6"/>
  <c r="BU132" i="6"/>
  <c r="BU142" i="6" s="1"/>
  <c r="BT132" i="6"/>
  <c r="BT142" i="6" s="1"/>
  <c r="BR142" i="6"/>
  <c r="BQ142" i="6"/>
  <c r="BP132" i="6"/>
  <c r="BP142" i="6" s="1"/>
  <c r="BZ100" i="6"/>
  <c r="AN100" i="1"/>
  <c r="Y55" i="1"/>
  <c r="AL100" i="1"/>
  <c r="BX100" i="1"/>
  <c r="AO26" i="1"/>
  <c r="CB26" i="1" s="1"/>
  <c r="C1" i="6"/>
  <c r="CB7" i="6"/>
  <c r="CB1" i="6" s="1"/>
  <c r="CD7" i="6"/>
  <c r="CE7" i="6" s="1"/>
  <c r="G12" i="6"/>
  <c r="AX8" i="6"/>
  <c r="AY8" i="6" s="1"/>
  <c r="AY12" i="6" s="1"/>
  <c r="AY17" i="6"/>
  <c r="BL8" i="6"/>
  <c r="BO8" i="6" s="1"/>
  <c r="BO17" i="6" s="1"/>
  <c r="BM8" i="6"/>
  <c r="BT8" i="6"/>
  <c r="BU8" i="6"/>
  <c r="CA8" i="6"/>
  <c r="BT10" i="6"/>
  <c r="BU10" i="6"/>
  <c r="AM12" i="6"/>
  <c r="BY12" i="6" s="1"/>
  <c r="AM17" i="6"/>
  <c r="BY17" i="6" s="1"/>
  <c r="AN12" i="6"/>
  <c r="AO12" i="6"/>
  <c r="BP15" i="6"/>
  <c r="BT15" i="6"/>
  <c r="BU15" i="6"/>
  <c r="BP16" i="6"/>
  <c r="BT16" i="6"/>
  <c r="BU16" i="6"/>
  <c r="AN17" i="6"/>
  <c r="AO17" i="6"/>
  <c r="AX17" i="6"/>
  <c r="AZ17" i="6"/>
  <c r="BA17" i="6"/>
  <c r="BZ17" i="6"/>
  <c r="CA17" i="6"/>
  <c r="CB17" i="6"/>
  <c r="CC17" i="6"/>
  <c r="CD17" i="6"/>
  <c r="CE17" i="6"/>
  <c r="B18" i="6"/>
  <c r="I18" i="6"/>
  <c r="BY18" i="6"/>
  <c r="BZ18" i="6"/>
  <c r="CA18" i="6"/>
  <c r="BP20" i="6"/>
  <c r="BT20" i="6"/>
  <c r="BU20" i="6"/>
  <c r="BP21" i="6"/>
  <c r="BT21" i="6"/>
  <c r="BU21" i="6"/>
  <c r="BP22" i="6"/>
  <c r="BT22" i="6"/>
  <c r="BU22" i="6"/>
  <c r="AG23" i="6"/>
  <c r="AF25" i="6" s="1"/>
  <c r="AX23" i="6"/>
  <c r="AY23" i="6" s="1"/>
  <c r="AY24" i="6" s="1"/>
  <c r="AY30" i="6"/>
  <c r="BP23" i="6"/>
  <c r="BT23" i="6"/>
  <c r="I24" i="6"/>
  <c r="I31" i="6" s="1"/>
  <c r="AM24" i="6"/>
  <c r="BY24" i="6" s="1"/>
  <c r="AN24" i="6"/>
  <c r="AN30" i="6"/>
  <c r="AO24" i="6"/>
  <c r="BZ24" i="6"/>
  <c r="CA24" i="6"/>
  <c r="B25" i="6"/>
  <c r="H25" i="6"/>
  <c r="AL25" i="6"/>
  <c r="BB25" i="6"/>
  <c r="BB31" i="6" s="1"/>
  <c r="BY25" i="6"/>
  <c r="BZ25" i="6"/>
  <c r="CA25" i="6"/>
  <c r="BP27" i="6"/>
  <c r="BT27" i="6"/>
  <c r="BU27" i="6"/>
  <c r="BP28" i="6"/>
  <c r="BT28" i="6"/>
  <c r="BU28" i="6"/>
  <c r="BP29" i="6"/>
  <c r="BT29" i="6"/>
  <c r="BU29" i="6"/>
  <c r="G30" i="6"/>
  <c r="G31" i="6" s="1"/>
  <c r="H30" i="6"/>
  <c r="AM30" i="6"/>
  <c r="BY30" i="6" s="1"/>
  <c r="AX30" i="6"/>
  <c r="AZ30" i="6"/>
  <c r="BA30" i="6"/>
  <c r="BN30" i="6"/>
  <c r="BO30" i="6"/>
  <c r="BQ30" i="6"/>
  <c r="BR30" i="6"/>
  <c r="BZ30" i="6"/>
  <c r="CA30" i="6"/>
  <c r="CB30" i="6"/>
  <c r="CC30" i="6"/>
  <c r="CD30" i="6"/>
  <c r="CE30" i="6"/>
  <c r="BS31" i="6"/>
  <c r="BY31" i="6"/>
  <c r="BZ31" i="6"/>
  <c r="CA31" i="6"/>
  <c r="AG33" i="6"/>
  <c r="AX33" i="6"/>
  <c r="BA33" i="6" s="1"/>
  <c r="BA45" i="6" s="1"/>
  <c r="BP33" i="6"/>
  <c r="BT33" i="6"/>
  <c r="BV33" i="6"/>
  <c r="AG34" i="6"/>
  <c r="BU34" i="6" s="1"/>
  <c r="BP34" i="6"/>
  <c r="BT34" i="6"/>
  <c r="BP35" i="6"/>
  <c r="BT35" i="6"/>
  <c r="BU35" i="6"/>
  <c r="BW35" i="6"/>
  <c r="BX35" i="6"/>
  <c r="CA35" i="6" s="1"/>
  <c r="BY35" i="6"/>
  <c r="BY46" i="6" s="1"/>
  <c r="BP36" i="6"/>
  <c r="BT36" i="6"/>
  <c r="BU36" i="6"/>
  <c r="BP37" i="6"/>
  <c r="BT37" i="6"/>
  <c r="BU37" i="6"/>
  <c r="BP38" i="6"/>
  <c r="BT38" i="6"/>
  <c r="BU38" i="6"/>
  <c r="BP39" i="6"/>
  <c r="BT39" i="6"/>
  <c r="BU39" i="6"/>
  <c r="BP40" i="6"/>
  <c r="BT40" i="6"/>
  <c r="BU40" i="6"/>
  <c r="BP41" i="6"/>
  <c r="BT41" i="6"/>
  <c r="BU41" i="6"/>
  <c r="BP42" i="6"/>
  <c r="BT42" i="6"/>
  <c r="BU42" i="6"/>
  <c r="BP43" i="6"/>
  <c r="BT43" i="6"/>
  <c r="BU43" i="6"/>
  <c r="BP44" i="6"/>
  <c r="BT44" i="6"/>
  <c r="BU44" i="6"/>
  <c r="AM45" i="6"/>
  <c r="BY45" i="6" s="1"/>
  <c r="AN45" i="6"/>
  <c r="AO45" i="6"/>
  <c r="B46" i="6"/>
  <c r="H46" i="6"/>
  <c r="X46" i="6"/>
  <c r="BB46" i="6"/>
  <c r="AX48" i="6"/>
  <c r="AZ48" i="6" s="1"/>
  <c r="BL48" i="6"/>
  <c r="BO48" i="6" s="1"/>
  <c r="BM48" i="6"/>
  <c r="BS48" i="6"/>
  <c r="BT48" i="6"/>
  <c r="BU48" i="6"/>
  <c r="BV49" i="6"/>
  <c r="BV50" i="6"/>
  <c r="BV51" i="6"/>
  <c r="BW48" i="6"/>
  <c r="BX48" i="6"/>
  <c r="AX49" i="6"/>
  <c r="AZ49" i="6" s="1"/>
  <c r="BL49" i="6"/>
  <c r="BM49" i="6"/>
  <c r="BS49" i="6"/>
  <c r="BT49" i="6"/>
  <c r="BT50" i="6"/>
  <c r="BT51" i="6"/>
  <c r="BT55" i="6"/>
  <c r="BT56" i="6"/>
  <c r="BT57" i="6"/>
  <c r="BT58" i="6"/>
  <c r="BT59" i="6"/>
  <c r="BU49" i="6"/>
  <c r="BW49" i="6"/>
  <c r="BX49" i="6"/>
  <c r="BZ49" i="6" s="1"/>
  <c r="AX50" i="6"/>
  <c r="BL50" i="6"/>
  <c r="BN50" i="6" s="1"/>
  <c r="BM50" i="6"/>
  <c r="BS50" i="6"/>
  <c r="BU50" i="6"/>
  <c r="BW50" i="6"/>
  <c r="BX50" i="6"/>
  <c r="CA50" i="6" s="1"/>
  <c r="AX51" i="6"/>
  <c r="AZ51" i="6" s="1"/>
  <c r="BL51" i="6"/>
  <c r="BM51" i="6"/>
  <c r="BS51" i="6"/>
  <c r="BU51" i="6"/>
  <c r="BW51" i="6"/>
  <c r="BX51" i="6"/>
  <c r="BZ51" i="6" s="1"/>
  <c r="BU55" i="6"/>
  <c r="BU56" i="6"/>
  <c r="BU57" i="6"/>
  <c r="BU58" i="6"/>
  <c r="BU59" i="6"/>
  <c r="AM52" i="6"/>
  <c r="BY52" i="6" s="1"/>
  <c r="AN52" i="6"/>
  <c r="AN60" i="6"/>
  <c r="AO52" i="6"/>
  <c r="X53" i="6"/>
  <c r="J94" i="9"/>
  <c r="AL53" i="6"/>
  <c r="G55" i="6"/>
  <c r="AX55" i="6"/>
  <c r="AX60" i="6" s="1"/>
  <c r="BL55" i="6"/>
  <c r="BM55" i="6"/>
  <c r="BP55" i="6"/>
  <c r="BS55" i="6"/>
  <c r="BQ55" i="6" s="1"/>
  <c r="BP56" i="6"/>
  <c r="BP57" i="6"/>
  <c r="BP58" i="6"/>
  <c r="BP59" i="6"/>
  <c r="AM60" i="6"/>
  <c r="BY60" i="6" s="1"/>
  <c r="AO60" i="6"/>
  <c r="BR60" i="6"/>
  <c r="BZ60" i="6"/>
  <c r="CA60" i="6"/>
  <c r="CB60" i="6"/>
  <c r="CC60" i="6"/>
  <c r="CD60" i="6"/>
  <c r="CE60" i="6"/>
  <c r="BY61" i="6"/>
  <c r="BZ61" i="6"/>
  <c r="CA61" i="6"/>
  <c r="AX64" i="6"/>
  <c r="BP64" i="6"/>
  <c r="BT64" i="6"/>
  <c r="BT65" i="6"/>
  <c r="BT66" i="6"/>
  <c r="BT67" i="6"/>
  <c r="BT68" i="6"/>
  <c r="BT69" i="6"/>
  <c r="BT74" i="6"/>
  <c r="BT75" i="6"/>
  <c r="BT76" i="6"/>
  <c r="BT77" i="6"/>
  <c r="BT78" i="6"/>
  <c r="BV64" i="6"/>
  <c r="AF65" i="6"/>
  <c r="AX65" i="6"/>
  <c r="AY65" i="6" s="1"/>
  <c r="BP65" i="6"/>
  <c r="AF66" i="6"/>
  <c r="BP66" i="6"/>
  <c r="G67" i="6"/>
  <c r="AF67" i="6"/>
  <c r="BP67" i="6"/>
  <c r="G68" i="6"/>
  <c r="BU68" i="6"/>
  <c r="BP68" i="6"/>
  <c r="G69" i="6"/>
  <c r="BP69" i="6"/>
  <c r="BU69" i="6"/>
  <c r="AM70" i="6"/>
  <c r="AN70" i="6"/>
  <c r="AN79" i="6"/>
  <c r="AO70" i="6"/>
  <c r="BZ70" i="6"/>
  <c r="CA70" i="6"/>
  <c r="B71" i="6"/>
  <c r="H71" i="6"/>
  <c r="X71" i="6"/>
  <c r="BY71" i="6"/>
  <c r="BZ71" i="6"/>
  <c r="CA71" i="6"/>
  <c r="BP74" i="6"/>
  <c r="BP75" i="6"/>
  <c r="BP76" i="6"/>
  <c r="BP77" i="6"/>
  <c r="BP78" i="6"/>
  <c r="BU74" i="6"/>
  <c r="BU75" i="6"/>
  <c r="BU76" i="6"/>
  <c r="BU77" i="6"/>
  <c r="BU78" i="6"/>
  <c r="I79" i="6"/>
  <c r="AM79" i="6"/>
  <c r="BY79" i="6" s="1"/>
  <c r="AO79" i="6"/>
  <c r="AX79" i="6"/>
  <c r="AY79" i="6"/>
  <c r="AZ79" i="6"/>
  <c r="BA79" i="6"/>
  <c r="BN79" i="6"/>
  <c r="BO79" i="6"/>
  <c r="BQ79" i="6"/>
  <c r="BR79" i="6"/>
  <c r="BZ79" i="6"/>
  <c r="CA79" i="6"/>
  <c r="CB79" i="6"/>
  <c r="CC79" i="6"/>
  <c r="CD79" i="6"/>
  <c r="CE79" i="6"/>
  <c r="B80" i="6"/>
  <c r="G80" i="6"/>
  <c r="H80" i="6"/>
  <c r="J80" i="6"/>
  <c r="BS80" i="6"/>
  <c r="BY80" i="6"/>
  <c r="BZ80" i="6"/>
  <c r="CA80" i="6"/>
  <c r="G82" i="6"/>
  <c r="AX82" i="6"/>
  <c r="AY82" i="6" s="1"/>
  <c r="AY87" i="6" s="1"/>
  <c r="AY93" i="6"/>
  <c r="BU84" i="6"/>
  <c r="BU85" i="6"/>
  <c r="BU86" i="6"/>
  <c r="BU91" i="6"/>
  <c r="BU92" i="6"/>
  <c r="BP83" i="6"/>
  <c r="BT83" i="6"/>
  <c r="BT84" i="6"/>
  <c r="BT85" i="6"/>
  <c r="BT86" i="6"/>
  <c r="BT91" i="6"/>
  <c r="BT92" i="6"/>
  <c r="BV83" i="6"/>
  <c r="BV93" i="6" s="1"/>
  <c r="BP84" i="6"/>
  <c r="BP85" i="6"/>
  <c r="BP86" i="6"/>
  <c r="BP91" i="6"/>
  <c r="BP92" i="6"/>
  <c r="CK92" i="6" s="1"/>
  <c r="CN92" i="6" s="1"/>
  <c r="AM87" i="6"/>
  <c r="BY87" i="6" s="1"/>
  <c r="AN87" i="6"/>
  <c r="AO87" i="6"/>
  <c r="BZ87" i="6"/>
  <c r="CA87" i="6"/>
  <c r="X88" i="6"/>
  <c r="BB88" i="6"/>
  <c r="BB94" i="6" s="1"/>
  <c r="BY88" i="6"/>
  <c r="BZ88" i="6"/>
  <c r="CA88" i="6"/>
  <c r="G91" i="6"/>
  <c r="AM93" i="6"/>
  <c r="AM94" i="6" s="1"/>
  <c r="AN93" i="6"/>
  <c r="AO93" i="6"/>
  <c r="AX93" i="6"/>
  <c r="AZ93" i="6"/>
  <c r="BA93" i="6"/>
  <c r="BN93" i="6"/>
  <c r="BO93" i="6"/>
  <c r="BQ93" i="6"/>
  <c r="BR93" i="6"/>
  <c r="BZ93" i="6"/>
  <c r="CA93" i="6"/>
  <c r="CB93" i="6"/>
  <c r="CC93" i="6"/>
  <c r="CD93" i="6"/>
  <c r="CE93" i="6"/>
  <c r="B94" i="6"/>
  <c r="H94" i="6"/>
  <c r="X94" i="6"/>
  <c r="AF94" i="6"/>
  <c r="BS94" i="6"/>
  <c r="BY94" i="6"/>
  <c r="BZ94" i="6"/>
  <c r="CA94" i="6"/>
  <c r="AX96" i="6"/>
  <c r="AZ96" i="6" s="1"/>
  <c r="BT96" i="6"/>
  <c r="BT97" i="6"/>
  <c r="BT120" i="6" s="1"/>
  <c r="BY97" i="6"/>
  <c r="BT98" i="6"/>
  <c r="BY98" i="6"/>
  <c r="BT100" i="6"/>
  <c r="BT101" i="6"/>
  <c r="BU101" i="6"/>
  <c r="BV101" i="6"/>
  <c r="BS112" i="6"/>
  <c r="BS111" i="6"/>
  <c r="BS110" i="6"/>
  <c r="BQ110" i="6" s="1"/>
  <c r="BS109" i="6"/>
  <c r="BS108" i="6"/>
  <c r="BS107" i="6"/>
  <c r="BS106" i="6"/>
  <c r="BP112" i="6"/>
  <c r="BP111" i="6"/>
  <c r="BP110" i="6"/>
  <c r="BP108" i="6"/>
  <c r="BP120" i="6" s="1"/>
  <c r="BT106" i="6"/>
  <c r="BT107" i="6"/>
  <c r="BT108" i="6"/>
  <c r="BT109" i="6"/>
  <c r="BT110" i="6"/>
  <c r="BT111" i="6"/>
  <c r="BT112" i="6"/>
  <c r="BT113" i="6"/>
  <c r="BT114" i="6"/>
  <c r="BT115" i="6"/>
  <c r="BT116" i="6"/>
  <c r="BT117" i="6"/>
  <c r="BT118" i="6"/>
  <c r="BT119" i="6"/>
  <c r="AM102" i="6"/>
  <c r="BY102" i="6" s="1"/>
  <c r="AM120" i="6"/>
  <c r="AN102" i="6"/>
  <c r="AO102" i="6"/>
  <c r="X103" i="6"/>
  <c r="AX106" i="6"/>
  <c r="BN106" i="6" s="1"/>
  <c r="BN120" i="6" s="1"/>
  <c r="BL106" i="6"/>
  <c r="BM106" i="6"/>
  <c r="BP106" i="6"/>
  <c r="BU106" i="6"/>
  <c r="AX107" i="6"/>
  <c r="AY107" i="6" s="1"/>
  <c r="AX108" i="6"/>
  <c r="AZ108" i="6" s="1"/>
  <c r="BL107" i="6"/>
  <c r="BM107" i="6"/>
  <c r="BP107" i="6"/>
  <c r="BU107" i="6"/>
  <c r="BL108" i="6"/>
  <c r="BM108" i="6"/>
  <c r="BU108" i="6"/>
  <c r="BP109" i="6"/>
  <c r="BU109" i="6"/>
  <c r="BU110" i="6"/>
  <c r="BU111" i="6"/>
  <c r="BU112" i="6"/>
  <c r="BP113" i="6"/>
  <c r="BU113" i="6"/>
  <c r="BP114" i="6"/>
  <c r="BU114" i="6"/>
  <c r="BP115" i="6"/>
  <c r="BU115" i="6"/>
  <c r="BP116" i="6"/>
  <c r="BU116" i="6"/>
  <c r="BP117" i="6"/>
  <c r="BU117" i="6"/>
  <c r="BP118" i="6"/>
  <c r="BU118" i="6"/>
  <c r="BP119" i="6"/>
  <c r="BU119" i="6"/>
  <c r="AN120" i="6"/>
  <c r="AO120" i="6"/>
  <c r="BR120" i="6"/>
  <c r="BZ120" i="6"/>
  <c r="CA120" i="6"/>
  <c r="CB120" i="6"/>
  <c r="CC120" i="6"/>
  <c r="CD120" i="6"/>
  <c r="CE120" i="6"/>
  <c r="S121" i="6"/>
  <c r="X121" i="6"/>
  <c r="BB121" i="6"/>
  <c r="BY121" i="6"/>
  <c r="BZ121" i="6"/>
  <c r="CA121" i="6"/>
  <c r="BU124" i="6"/>
  <c r="BU125" i="6"/>
  <c r="BU126" i="6"/>
  <c r="BU127" i="6"/>
  <c r="BP123" i="6"/>
  <c r="BT123" i="6"/>
  <c r="BT124" i="6"/>
  <c r="BT125" i="6"/>
  <c r="BT126" i="6"/>
  <c r="BT127" i="6"/>
  <c r="BW123" i="6"/>
  <c r="BX123" i="6"/>
  <c r="BZ123" i="6" s="1"/>
  <c r="BY123" i="6"/>
  <c r="BY129" i="6" s="1"/>
  <c r="BP124" i="6"/>
  <c r="BP125" i="6"/>
  <c r="BP126" i="6"/>
  <c r="BP127" i="6"/>
  <c r="AM128" i="6"/>
  <c r="AN128" i="6"/>
  <c r="AN142" i="6"/>
  <c r="AO128" i="6"/>
  <c r="AX128" i="6"/>
  <c r="AY128" i="6"/>
  <c r="AZ128" i="6"/>
  <c r="BA128" i="6"/>
  <c r="X129" i="6"/>
  <c r="BB129" i="6"/>
  <c r="BB143" i="6" s="1"/>
  <c r="AX132" i="6"/>
  <c r="AZ132" i="6" s="1"/>
  <c r="AZ142" i="6" s="1"/>
  <c r="BL132" i="6"/>
  <c r="BN132" i="6" s="1"/>
  <c r="BN142" i="6" s="1"/>
  <c r="BM132" i="6"/>
  <c r="AM142" i="6"/>
  <c r="BY142" i="6" s="1"/>
  <c r="AO142" i="6"/>
  <c r="BZ142" i="6"/>
  <c r="CA142" i="6"/>
  <c r="BY143" i="6"/>
  <c r="BZ143" i="6"/>
  <c r="CA143" i="6"/>
  <c r="G154" i="6"/>
  <c r="BP145" i="6"/>
  <c r="BT145" i="6"/>
  <c r="BV145" i="6"/>
  <c r="BY145" i="6"/>
  <c r="BY146" i="6"/>
  <c r="BY147" i="6"/>
  <c r="BY148" i="6"/>
  <c r="BY149" i="6"/>
  <c r="BZ145" i="6"/>
  <c r="BZ149" i="6"/>
  <c r="BZ148" i="6"/>
  <c r="BZ147" i="6"/>
  <c r="BZ146" i="6"/>
  <c r="BP146" i="6"/>
  <c r="BT146" i="6"/>
  <c r="BU146" i="6"/>
  <c r="CA146" i="6"/>
  <c r="BP147" i="6"/>
  <c r="BT147" i="6"/>
  <c r="BU147" i="6"/>
  <c r="CA147" i="6"/>
  <c r="BP148" i="6"/>
  <c r="BT148" i="6"/>
  <c r="BU148" i="6"/>
  <c r="CA148" i="6"/>
  <c r="BP149" i="6"/>
  <c r="BT149" i="6"/>
  <c r="BU149" i="6"/>
  <c r="CA149" i="6"/>
  <c r="BP150" i="6"/>
  <c r="BT150" i="6"/>
  <c r="BU150" i="6"/>
  <c r="BP151" i="6"/>
  <c r="BT151" i="6"/>
  <c r="BU151" i="6"/>
  <c r="BP152" i="6"/>
  <c r="BT152" i="6"/>
  <c r="BU152" i="6"/>
  <c r="AM153" i="6"/>
  <c r="BY153" i="6" s="1"/>
  <c r="AN153" i="6"/>
  <c r="AO153" i="6"/>
  <c r="AX153" i="6"/>
  <c r="AY153" i="6"/>
  <c r="AZ153" i="6"/>
  <c r="BA153" i="6"/>
  <c r="X154" i="6"/>
  <c r="AF164" i="6"/>
  <c r="BB154" i="6"/>
  <c r="BB164" i="6" s="1"/>
  <c r="BB174" i="6" s="1"/>
  <c r="CA154" i="6"/>
  <c r="G156" i="6"/>
  <c r="G164" i="6" s="1"/>
  <c r="BP156" i="6"/>
  <c r="BT156" i="6"/>
  <c r="BT157" i="6"/>
  <c r="BT158" i="6"/>
  <c r="BT159" i="6"/>
  <c r="BT160" i="6"/>
  <c r="BT161" i="6"/>
  <c r="BT162" i="6"/>
  <c r="BU156" i="6"/>
  <c r="BY156" i="6"/>
  <c r="AX157" i="6"/>
  <c r="BY157" i="6" s="1"/>
  <c r="BV163" i="6" s="1"/>
  <c r="BP157" i="6"/>
  <c r="BS157" i="6"/>
  <c r="BU157" i="6"/>
  <c r="BV157" i="6"/>
  <c r="AX158" i="6"/>
  <c r="BY158" i="6" s="1"/>
  <c r="BP158" i="6"/>
  <c r="BS158" i="6"/>
  <c r="BU158" i="6"/>
  <c r="BV158" i="6"/>
  <c r="AX159" i="6"/>
  <c r="BY159" i="6" s="1"/>
  <c r="BP159" i="6"/>
  <c r="BS159" i="6"/>
  <c r="BU159" i="6"/>
  <c r="BU160" i="6"/>
  <c r="BU161" i="6"/>
  <c r="BU162" i="6"/>
  <c r="BV159" i="6"/>
  <c r="AX160" i="6"/>
  <c r="AZ160" i="6" s="1"/>
  <c r="BL160" i="6"/>
  <c r="BM160" i="6"/>
  <c r="BP160" i="6"/>
  <c r="BS160" i="6"/>
  <c r="BS162" i="6"/>
  <c r="BS161" i="6"/>
  <c r="BV160" i="6"/>
  <c r="AX161" i="6"/>
  <c r="AZ161" i="6" s="1"/>
  <c r="BL161" i="6"/>
  <c r="BN161" i="6" s="1"/>
  <c r="BM161" i="6"/>
  <c r="BP161" i="6"/>
  <c r="BP162" i="6"/>
  <c r="AM163" i="6"/>
  <c r="BY163" i="6"/>
  <c r="AN163" i="6"/>
  <c r="AO163" i="6"/>
  <c r="BN163" i="6"/>
  <c r="BO163" i="6"/>
  <c r="BQ163" i="6"/>
  <c r="BR163" i="6"/>
  <c r="BZ163" i="6"/>
  <c r="CB163" i="6"/>
  <c r="CC163" i="6"/>
  <c r="CD163" i="6"/>
  <c r="CD173" i="6" s="1"/>
  <c r="CE163" i="6"/>
  <c r="CE173" i="6" s="1"/>
  <c r="B164" i="6"/>
  <c r="H164" i="6"/>
  <c r="BZ164" i="6"/>
  <c r="CA164" i="6"/>
  <c r="AX166" i="6"/>
  <c r="AY166" i="6" s="1"/>
  <c r="AX167" i="6"/>
  <c r="AZ167" i="6" s="1"/>
  <c r="AX168" i="6"/>
  <c r="BA168" i="6" s="1"/>
  <c r="AX169" i="6"/>
  <c r="BY169" i="6" s="1"/>
  <c r="AX170" i="6"/>
  <c r="BA170" i="6" s="1"/>
  <c r="BP166" i="6"/>
  <c r="BT166" i="6"/>
  <c r="CA166" i="6"/>
  <c r="CA167" i="6"/>
  <c r="CA168" i="6"/>
  <c r="CA169" i="6"/>
  <c r="CA170" i="6"/>
  <c r="BP167" i="6"/>
  <c r="BT167" i="6"/>
  <c r="BT168" i="6"/>
  <c r="BT169" i="6"/>
  <c r="BT170" i="6"/>
  <c r="BP168" i="6"/>
  <c r="BP169" i="6"/>
  <c r="BP170" i="6"/>
  <c r="AM173" i="6"/>
  <c r="BY173" i="6" s="1"/>
  <c r="AN173" i="6"/>
  <c r="AO173" i="6"/>
  <c r="BQ173" i="6"/>
  <c r="BR173" i="6"/>
  <c r="CA173" i="6"/>
  <c r="CB173" i="6"/>
  <c r="CC173" i="6"/>
  <c r="I174" i="6"/>
  <c r="J174" i="6"/>
  <c r="BS174" i="6"/>
  <c r="AH8" i="5"/>
  <c r="AH9" i="5"/>
  <c r="AH32" i="5"/>
  <c r="AH33" i="5"/>
  <c r="AH42" i="5"/>
  <c r="AH43" i="5"/>
  <c r="AH50" i="5"/>
  <c r="AH51" i="5"/>
  <c r="AH54" i="5"/>
  <c r="AH55" i="5"/>
  <c r="AH67" i="5"/>
  <c r="D68" i="5"/>
  <c r="E68" i="5"/>
  <c r="F68" i="5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Y68" i="5"/>
  <c r="Z68" i="5"/>
  <c r="AA68" i="5"/>
  <c r="AB68" i="5"/>
  <c r="AC68" i="5"/>
  <c r="AD68" i="5"/>
  <c r="C137" i="5"/>
  <c r="D137" i="5"/>
  <c r="E137" i="5"/>
  <c r="F137" i="5"/>
  <c r="G137" i="5"/>
  <c r="H137" i="5"/>
  <c r="I137" i="5"/>
  <c r="J137" i="5"/>
  <c r="K137" i="5"/>
  <c r="L137" i="5"/>
  <c r="M137" i="5"/>
  <c r="N137" i="5"/>
  <c r="O137" i="5"/>
  <c r="P137" i="5"/>
  <c r="Q137" i="5"/>
  <c r="R137" i="5"/>
  <c r="S137" i="5"/>
  <c r="T137" i="5"/>
  <c r="U137" i="5"/>
  <c r="V137" i="5"/>
  <c r="W137" i="5"/>
  <c r="X137" i="5"/>
  <c r="Y137" i="5"/>
  <c r="Z137" i="5"/>
  <c r="AA137" i="5"/>
  <c r="AB137" i="5"/>
  <c r="AC137" i="5"/>
  <c r="AD137" i="5"/>
  <c r="C246" i="5"/>
  <c r="D246" i="5"/>
  <c r="E246" i="5"/>
  <c r="F246" i="5"/>
  <c r="G246" i="5"/>
  <c r="H246" i="5"/>
  <c r="I246" i="5"/>
  <c r="J246" i="5"/>
  <c r="K246" i="5"/>
  <c r="L246" i="5"/>
  <c r="M246" i="5"/>
  <c r="N246" i="5"/>
  <c r="O246" i="5"/>
  <c r="P246" i="5"/>
  <c r="Q246" i="5"/>
  <c r="R246" i="5"/>
  <c r="S246" i="5"/>
  <c r="T246" i="5"/>
  <c r="U246" i="5"/>
  <c r="V246" i="5"/>
  <c r="W246" i="5"/>
  <c r="X246" i="5"/>
  <c r="Y246" i="5"/>
  <c r="Z246" i="5"/>
  <c r="AA246" i="5"/>
  <c r="AB246" i="5"/>
  <c r="AC246" i="5"/>
  <c r="AD246" i="5"/>
  <c r="C279" i="5"/>
  <c r="B55" i="1"/>
  <c r="H48" i="1"/>
  <c r="J55" i="1"/>
  <c r="CB23" i="1"/>
  <c r="AH48" i="1"/>
  <c r="C1" i="1"/>
  <c r="CE7" i="1"/>
  <c r="CE1" i="1" s="1"/>
  <c r="CG7" i="1"/>
  <c r="CH7" i="1" s="1"/>
  <c r="G8" i="1"/>
  <c r="BN8" i="1"/>
  <c r="BQ8" i="1" s="1"/>
  <c r="BO8" i="1"/>
  <c r="BN9" i="1"/>
  <c r="BQ9" i="1" s="1"/>
  <c r="BN16" i="1"/>
  <c r="BQ16" i="1" s="1"/>
  <c r="BO9" i="1"/>
  <c r="AP13" i="1"/>
  <c r="AP20" i="1" s="1"/>
  <c r="AP19" i="1"/>
  <c r="AQ13" i="1"/>
  <c r="BO16" i="1"/>
  <c r="AQ19" i="1"/>
  <c r="BC19" i="1"/>
  <c r="CC19" i="1"/>
  <c r="CD19" i="1"/>
  <c r="CE19" i="1"/>
  <c r="CF19" i="1"/>
  <c r="CG19" i="1"/>
  <c r="CH19" i="1"/>
  <c r="I20" i="1"/>
  <c r="CB20" i="1"/>
  <c r="CC20" i="1"/>
  <c r="CD20" i="1"/>
  <c r="AI22" i="1"/>
  <c r="AI27" i="1" s="1"/>
  <c r="BN22" i="1"/>
  <c r="BP22" i="1" s="1"/>
  <c r="BO22" i="1"/>
  <c r="CC22" i="1"/>
  <c r="CA23" i="1"/>
  <c r="CC23" i="1" s="1"/>
  <c r="BZ23" i="1"/>
  <c r="BV24" i="1"/>
  <c r="AP26" i="1"/>
  <c r="AQ26" i="1"/>
  <c r="B27" i="1"/>
  <c r="AN27" i="1"/>
  <c r="AI30" i="1"/>
  <c r="AI33" i="1" s="1"/>
  <c r="BN29" i="1"/>
  <c r="BP29" i="1" s="1"/>
  <c r="BO29" i="1"/>
  <c r="BN30" i="1"/>
  <c r="BQ30" i="1" s="1"/>
  <c r="BO30" i="1"/>
  <c r="BR32" i="1"/>
  <c r="BS32" i="1"/>
  <c r="BU32" i="1"/>
  <c r="BW32" i="1"/>
  <c r="CC32" i="1"/>
  <c r="CD32" i="1"/>
  <c r="CE32" i="1"/>
  <c r="CF32" i="1"/>
  <c r="CG32" i="1"/>
  <c r="CH32" i="1"/>
  <c r="CB33" i="1"/>
  <c r="CC33" i="1"/>
  <c r="CD33" i="1"/>
  <c r="BN35" i="1"/>
  <c r="BP35" i="1" s="1"/>
  <c r="BP54" i="1" s="1"/>
  <c r="BO35" i="1"/>
  <c r="BV43" i="1"/>
  <c r="BV42" i="1"/>
  <c r="BV40" i="1"/>
  <c r="BV39" i="1"/>
  <c r="BV38" i="1"/>
  <c r="BV36" i="1"/>
  <c r="BU47" i="1"/>
  <c r="BY35" i="1"/>
  <c r="BY36" i="1"/>
  <c r="BY37" i="1"/>
  <c r="BY38" i="1"/>
  <c r="BY39" i="1"/>
  <c r="BY40" i="1"/>
  <c r="BY42" i="1"/>
  <c r="BY43" i="1"/>
  <c r="BY44" i="1"/>
  <c r="CA37" i="1"/>
  <c r="CD37" i="1" s="1"/>
  <c r="BZ37" i="1"/>
  <c r="CB37" i="1"/>
  <c r="AP47" i="1"/>
  <c r="AQ47" i="1"/>
  <c r="BR47" i="1"/>
  <c r="BS47" i="1"/>
  <c r="B48" i="1"/>
  <c r="J48" i="1"/>
  <c r="I54" i="1"/>
  <c r="BC54" i="1"/>
  <c r="J54" i="1"/>
  <c r="AI54" i="1"/>
  <c r="AQ54" i="1"/>
  <c r="BR54" i="1"/>
  <c r="BS54" i="1"/>
  <c r="BU54" i="1"/>
  <c r="BW54" i="1"/>
  <c r="CC54" i="1"/>
  <c r="CD54" i="1"/>
  <c r="CE54" i="1"/>
  <c r="CF54" i="1"/>
  <c r="CG54" i="1"/>
  <c r="CH54" i="1"/>
  <c r="T55" i="1"/>
  <c r="CB55" i="1"/>
  <c r="CC55" i="1"/>
  <c r="CD55" i="1"/>
  <c r="G57" i="1"/>
  <c r="G67" i="1" s="1"/>
  <c r="AH57" i="1"/>
  <c r="AI57" i="1"/>
  <c r="AI67" i="1" s="1"/>
  <c r="AN57" i="1"/>
  <c r="AN67" i="1" s="1"/>
  <c r="BN57" i="1"/>
  <c r="BQ57" i="1" s="1"/>
  <c r="BO57" i="1"/>
  <c r="BZ57" i="1"/>
  <c r="CA57" i="1"/>
  <c r="CC57" i="1" s="1"/>
  <c r="BN58" i="1"/>
  <c r="BQ58" i="1" s="1"/>
  <c r="BO58" i="1"/>
  <c r="BV58" i="1"/>
  <c r="BZ58" i="1"/>
  <c r="CA58" i="1"/>
  <c r="CD58" i="1" s="1"/>
  <c r="BN59" i="1"/>
  <c r="BQ59" i="1" s="1"/>
  <c r="BO59" i="1"/>
  <c r="BV59" i="1"/>
  <c r="BZ59" i="1"/>
  <c r="CA59" i="1"/>
  <c r="CD59" i="1" s="1"/>
  <c r="BN60" i="1"/>
  <c r="BQ60" i="1" s="1"/>
  <c r="BO60" i="1"/>
  <c r="BV60" i="1"/>
  <c r="BV63" i="1"/>
  <c r="BV62" i="1"/>
  <c r="BV61" i="1"/>
  <c r="BZ60" i="1"/>
  <c r="CA60" i="1"/>
  <c r="CD60" i="1" s="1"/>
  <c r="BN61" i="1"/>
  <c r="BQ61" i="1" s="1"/>
  <c r="BO61" i="1"/>
  <c r="BZ61" i="1"/>
  <c r="CA61" i="1"/>
  <c r="CC61" i="1" s="1"/>
  <c r="BZ62" i="1"/>
  <c r="CA62" i="1"/>
  <c r="CC62" i="1" s="1"/>
  <c r="CB62" i="1"/>
  <c r="AO66" i="1"/>
  <c r="CB66" i="1" s="1"/>
  <c r="AP66" i="1"/>
  <c r="AP74" i="1"/>
  <c r="AQ66" i="1"/>
  <c r="T67" i="1"/>
  <c r="Y67" i="1"/>
  <c r="BN69" i="1"/>
  <c r="BQ69" i="1" s="1"/>
  <c r="BQ74" i="1" s="1"/>
  <c r="BO69" i="1"/>
  <c r="AO74" i="1"/>
  <c r="AO75" i="1" s="1"/>
  <c r="AQ74" i="1"/>
  <c r="AZ74" i="1"/>
  <c r="BA74" i="1"/>
  <c r="BB74" i="1"/>
  <c r="BC74" i="1"/>
  <c r="BR74" i="1"/>
  <c r="BS74" i="1"/>
  <c r="BU74" i="1"/>
  <c r="BW74" i="1"/>
  <c r="BY74" i="1"/>
  <c r="CC74" i="1"/>
  <c r="CD74" i="1"/>
  <c r="CE74" i="1"/>
  <c r="CF74" i="1"/>
  <c r="CG74" i="1"/>
  <c r="CH74" i="1"/>
  <c r="B75" i="1"/>
  <c r="CB75" i="1"/>
  <c r="CC75" i="1"/>
  <c r="CD75" i="1"/>
  <c r="I79" i="1"/>
  <c r="AO79" i="1"/>
  <c r="CB79" i="1" s="1"/>
  <c r="AP79" i="1"/>
  <c r="AQ79" i="1"/>
  <c r="AZ79" i="1"/>
  <c r="BA79" i="1"/>
  <c r="BB79" i="1"/>
  <c r="BC79" i="1"/>
  <c r="CC79" i="1"/>
  <c r="CD79" i="1"/>
  <c r="B80" i="1"/>
  <c r="H80" i="1"/>
  <c r="J80" i="1"/>
  <c r="T80" i="1"/>
  <c r="Y80" i="1"/>
  <c r="AI80" i="1"/>
  <c r="AO80" i="1"/>
  <c r="BD80" i="1"/>
  <c r="BD85" i="1" s="1"/>
  <c r="CB80" i="1"/>
  <c r="CC80" i="1"/>
  <c r="CD80" i="1"/>
  <c r="I84" i="1"/>
  <c r="AO84" i="1"/>
  <c r="AO85" i="1" s="1"/>
  <c r="AP84" i="1"/>
  <c r="AQ84" i="1"/>
  <c r="BC84" i="1"/>
  <c r="BP84" i="1"/>
  <c r="BQ84" i="1"/>
  <c r="BR84" i="1"/>
  <c r="BS84" i="1"/>
  <c r="BU84" i="1"/>
  <c r="BW84" i="1"/>
  <c r="BX84" i="1"/>
  <c r="BY84" i="1"/>
  <c r="CC84" i="1"/>
  <c r="CD84" i="1"/>
  <c r="CE84" i="1"/>
  <c r="CF84" i="1"/>
  <c r="CG84" i="1"/>
  <c r="CH84" i="1"/>
  <c r="B85" i="1"/>
  <c r="J85" i="1"/>
  <c r="BC85" i="1"/>
  <c r="BV85" i="1"/>
  <c r="CB85" i="1"/>
  <c r="CC85" i="1"/>
  <c r="CD85" i="1"/>
  <c r="G88" i="1"/>
  <c r="BN88" i="1"/>
  <c r="BQ88" i="1" s="1"/>
  <c r="BN89" i="1"/>
  <c r="BP89" i="1" s="1"/>
  <c r="BO88" i="1"/>
  <c r="AH89" i="1"/>
  <c r="BX89" i="1"/>
  <c r="AL89" i="1"/>
  <c r="AM89" i="1" s="1"/>
  <c r="AM92" i="1"/>
  <c r="BO89" i="1"/>
  <c r="G90" i="1"/>
  <c r="AH90" i="1"/>
  <c r="AL90" i="1"/>
  <c r="G91" i="1"/>
  <c r="G92" i="1"/>
  <c r="AH92" i="1"/>
  <c r="BV92" i="1"/>
  <c r="BV102" i="1"/>
  <c r="BV101" i="1"/>
  <c r="BV95" i="1"/>
  <c r="BU96" i="1"/>
  <c r="BU97" i="1" s="1"/>
  <c r="G93" i="1"/>
  <c r="G94" i="1"/>
  <c r="G95" i="1"/>
  <c r="CM95" i="1"/>
  <c r="CC96" i="1"/>
  <c r="CD96" i="1"/>
  <c r="T97" i="1"/>
  <c r="CB97" i="1"/>
  <c r="CC97" i="1"/>
  <c r="CD97" i="1"/>
  <c r="I105" i="1"/>
  <c r="BC105" i="1"/>
  <c r="BR105" i="1"/>
  <c r="BU105" i="1"/>
  <c r="BY105" i="1"/>
  <c r="CB105" i="1"/>
  <c r="CC105" i="1"/>
  <c r="CD105" i="1"/>
  <c r="CE105" i="1"/>
  <c r="CF105" i="1"/>
  <c r="CG105" i="1"/>
  <c r="CH105" i="1"/>
  <c r="B106" i="1"/>
  <c r="G106" i="1"/>
  <c r="H106" i="1"/>
  <c r="J106" i="1"/>
  <c r="CB106" i="1"/>
  <c r="CC106" i="1"/>
  <c r="CD106" i="1"/>
  <c r="G109" i="1"/>
  <c r="G120" i="1" s="1"/>
  <c r="BB109" i="1"/>
  <c r="BN108" i="1"/>
  <c r="BQ108" i="1" s="1"/>
  <c r="BN118" i="1"/>
  <c r="BP118" i="1" s="1"/>
  <c r="BO108" i="1"/>
  <c r="CC113" i="1"/>
  <c r="CD113" i="1"/>
  <c r="H114" i="1"/>
  <c r="CB114" i="1"/>
  <c r="CC114" i="1"/>
  <c r="CD114" i="1"/>
  <c r="AI117" i="1"/>
  <c r="AL117" i="1"/>
  <c r="AO117" i="1" s="1"/>
  <c r="CC117" i="1" s="1"/>
  <c r="AL118" i="1"/>
  <c r="AO118" i="1" s="1"/>
  <c r="BV118" i="1" s="1"/>
  <c r="AN118" i="1"/>
  <c r="BO118" i="1"/>
  <c r="I119" i="1"/>
  <c r="BC119" i="1"/>
  <c r="BR119" i="1"/>
  <c r="BU119" i="1"/>
  <c r="BW119" i="1"/>
  <c r="BX119" i="1"/>
  <c r="BY119" i="1"/>
  <c r="CB119" i="1"/>
  <c r="CE119" i="1"/>
  <c r="CF119" i="1"/>
  <c r="CG119" i="1"/>
  <c r="CH119" i="1"/>
  <c r="B120" i="1"/>
  <c r="H120" i="1"/>
  <c r="J120" i="1"/>
  <c r="T120" i="1"/>
  <c r="Y120" i="1"/>
  <c r="G122" i="1"/>
  <c r="G123" i="1"/>
  <c r="H122" i="1"/>
  <c r="CD122" i="1" s="1"/>
  <c r="H123" i="1"/>
  <c r="J123" i="1" s="1"/>
  <c r="AL122" i="1"/>
  <c r="AZ122" i="1"/>
  <c r="BA122" i="1" s="1"/>
  <c r="AZ123" i="1"/>
  <c r="BB123" i="1" s="1"/>
  <c r="BA154" i="1"/>
  <c r="BB154" i="1"/>
  <c r="BN122" i="1"/>
  <c r="BQ122" i="1" s="1"/>
  <c r="BN140" i="1"/>
  <c r="BQ140" i="1" s="1"/>
  <c r="BO122" i="1"/>
  <c r="CC122" i="1"/>
  <c r="CA123" i="1"/>
  <c r="CC123" i="1" s="1"/>
  <c r="AL123" i="1"/>
  <c r="CB123" i="1" s="1"/>
  <c r="BZ123" i="1"/>
  <c r="BV134" i="1"/>
  <c r="CB136" i="1"/>
  <c r="B137" i="1"/>
  <c r="T137" i="1"/>
  <c r="Y137" i="1"/>
  <c r="AH137" i="1"/>
  <c r="BO140" i="1"/>
  <c r="BV140" i="1"/>
  <c r="BV143" i="1"/>
  <c r="BV142" i="1"/>
  <c r="I154" i="1"/>
  <c r="AZ154" i="1"/>
  <c r="BC154" i="1"/>
  <c r="BR154" i="1"/>
  <c r="BS154" i="1"/>
  <c r="BU154" i="1"/>
  <c r="BW154" i="1"/>
  <c r="BX154" i="1"/>
  <c r="BY154" i="1"/>
  <c r="CB154" i="1"/>
  <c r="CC154" i="1"/>
  <c r="CD154" i="1"/>
  <c r="CE154" i="1"/>
  <c r="CF154" i="1"/>
  <c r="CG154" i="1"/>
  <c r="CH154" i="1"/>
  <c r="B155" i="1"/>
  <c r="H155" i="1"/>
  <c r="J155" i="1"/>
  <c r="T155" i="1"/>
  <c r="Y155" i="1"/>
  <c r="CB155" i="1"/>
  <c r="CC155" i="1"/>
  <c r="CD155" i="1"/>
  <c r="T163" i="1"/>
  <c r="I180" i="1"/>
  <c r="BR180" i="1"/>
  <c r="BY180" i="1"/>
  <c r="CC180" i="1"/>
  <c r="CD180" i="1"/>
  <c r="CE180" i="1"/>
  <c r="CF180" i="1"/>
  <c r="CG180" i="1"/>
  <c r="CH180" i="1"/>
  <c r="B181" i="1"/>
  <c r="T181" i="1"/>
  <c r="CB181" i="1"/>
  <c r="CC181" i="1"/>
  <c r="CD181" i="1"/>
  <c r="G189" i="1"/>
  <c r="BN192" i="1"/>
  <c r="BP192" i="1" s="1"/>
  <c r="BP202" i="1" s="1"/>
  <c r="BY202" i="1"/>
  <c r="BZ183" i="1"/>
  <c r="CA183" i="1"/>
  <c r="AP188" i="1"/>
  <c r="AQ188" i="1"/>
  <c r="B189" i="1"/>
  <c r="E71" i="9" s="1"/>
  <c r="BO192" i="1"/>
  <c r="AN195" i="1"/>
  <c r="AZ195" i="1"/>
  <c r="BB195" i="1" s="1"/>
  <c r="AN196" i="1"/>
  <c r="AZ196" i="1"/>
  <c r="BA196" i="1" s="1"/>
  <c r="AN197" i="1"/>
  <c r="AZ197" i="1"/>
  <c r="BA197" i="1" s="1"/>
  <c r="AN198" i="1"/>
  <c r="AZ198" i="1"/>
  <c r="BA198" i="1" s="1"/>
  <c r="AN199" i="1"/>
  <c r="AZ199" i="1"/>
  <c r="BB199" i="1" s="1"/>
  <c r="AN200" i="1"/>
  <c r="AZ200" i="1"/>
  <c r="BB200" i="1" s="1"/>
  <c r="AN201" i="1"/>
  <c r="AZ201" i="1"/>
  <c r="BA201" i="1" s="1"/>
  <c r="AO202" i="1"/>
  <c r="CB202" i="1" s="1"/>
  <c r="AP202" i="1"/>
  <c r="AQ202" i="1"/>
  <c r="BC202" i="1"/>
  <c r="BR202" i="1"/>
  <c r="BW202" i="1"/>
  <c r="CC202" i="1"/>
  <c r="CD202" i="1"/>
  <c r="B203" i="1"/>
  <c r="G203" i="1"/>
  <c r="H203" i="1"/>
  <c r="CB203" i="1"/>
  <c r="CC203" i="1"/>
  <c r="CD203" i="1"/>
  <c r="G205" i="1"/>
  <c r="G207" i="1"/>
  <c r="G208" i="1"/>
  <c r="G209" i="1"/>
  <c r="AH205" i="1"/>
  <c r="BB205" i="1"/>
  <c r="BC205" i="1"/>
  <c r="BN205" i="1"/>
  <c r="BQ205" i="1" s="1"/>
  <c r="BO205" i="1"/>
  <c r="CB205" i="1"/>
  <c r="CB215" i="1" s="1"/>
  <c r="CC205" i="1"/>
  <c r="CD206" i="1"/>
  <c r="CC206" i="1"/>
  <c r="AH206" i="1"/>
  <c r="AL206" i="1"/>
  <c r="CB206" i="1" s="1"/>
  <c r="AH207" i="1"/>
  <c r="BZ207" i="1"/>
  <c r="CA207" i="1"/>
  <c r="CC207" i="1" s="1"/>
  <c r="AH208" i="1"/>
  <c r="BZ208" i="1"/>
  <c r="CA208" i="1"/>
  <c r="CD208" i="1" s="1"/>
  <c r="CB208" i="1"/>
  <c r="AH209" i="1"/>
  <c r="BZ209" i="1"/>
  <c r="CA209" i="1"/>
  <c r="AH210" i="1"/>
  <c r="BZ210" i="1"/>
  <c r="CA210" i="1"/>
  <c r="CC210" i="1" s="1"/>
  <c r="CB210" i="1"/>
  <c r="AH211" i="1"/>
  <c r="BB211" i="1"/>
  <c r="AH212" i="1"/>
  <c r="AH213" i="1"/>
  <c r="AI213" i="1"/>
  <c r="BB213" i="1"/>
  <c r="AO214" i="1"/>
  <c r="AP214" i="1"/>
  <c r="AQ214" i="1"/>
  <c r="B215" i="1"/>
  <c r="H215" i="1"/>
  <c r="T215" i="1"/>
  <c r="Y215" i="1"/>
  <c r="CD215" i="1"/>
  <c r="AH217" i="1"/>
  <c r="AI217" i="1"/>
  <c r="BN217" i="1"/>
  <c r="BP217" i="1" s="1"/>
  <c r="BO217" i="1"/>
  <c r="CK217" i="1"/>
  <c r="AH218" i="1"/>
  <c r="AI218" i="1"/>
  <c r="AM218" i="1"/>
  <c r="BN218" i="1"/>
  <c r="BQ218" i="1" s="1"/>
  <c r="BO218" i="1"/>
  <c r="BV218" i="1"/>
  <c r="CK218" i="1"/>
  <c r="AH219" i="1"/>
  <c r="AI219" i="1"/>
  <c r="AM219" i="1"/>
  <c r="BN219" i="1"/>
  <c r="BP219" i="1" s="1"/>
  <c r="BO219" i="1"/>
  <c r="BV219" i="1"/>
  <c r="CK219" i="1"/>
  <c r="AH220" i="1"/>
  <c r="AI220" i="1"/>
  <c r="AM220" i="1"/>
  <c r="AN220" i="1"/>
  <c r="BB225" i="1"/>
  <c r="BN220" i="1"/>
  <c r="BP220" i="1" s="1"/>
  <c r="BO220" i="1"/>
  <c r="BV220" i="1"/>
  <c r="BV228" i="1"/>
  <c r="BV227" i="1"/>
  <c r="BV226" i="1"/>
  <c r="BV225" i="1"/>
  <c r="BV224" i="1"/>
  <c r="BV223" i="1"/>
  <c r="BV222" i="1"/>
  <c r="BV221" i="1"/>
  <c r="CK220" i="1"/>
  <c r="AH221" i="1"/>
  <c r="AM221" i="1"/>
  <c r="AN221" i="1"/>
  <c r="BN221" i="1"/>
  <c r="BQ221" i="1" s="1"/>
  <c r="BO221" i="1"/>
  <c r="CK221" i="1"/>
  <c r="AH222" i="1"/>
  <c r="AM222" i="1"/>
  <c r="AN222" i="1"/>
  <c r="BN222" i="1"/>
  <c r="BP222" i="1" s="1"/>
  <c r="BO222" i="1"/>
  <c r="CK222" i="1"/>
  <c r="AH223" i="1"/>
  <c r="AM223" i="1"/>
  <c r="AN223" i="1"/>
  <c r="BN223" i="1"/>
  <c r="BQ223" i="1" s="1"/>
  <c r="BO223" i="1"/>
  <c r="CK223" i="1"/>
  <c r="AH224" i="1"/>
  <c r="AM224" i="1"/>
  <c r="AN224" i="1"/>
  <c r="BN224" i="1"/>
  <c r="BQ224" i="1" s="1"/>
  <c r="BO224" i="1"/>
  <c r="CK224" i="1"/>
  <c r="AH225" i="1"/>
  <c r="AM225" i="1"/>
  <c r="AN225" i="1"/>
  <c r="BC225" i="1"/>
  <c r="BN225" i="1"/>
  <c r="BQ225" i="1" s="1"/>
  <c r="BO225" i="1"/>
  <c r="CK225" i="1"/>
  <c r="AH226" i="1"/>
  <c r="AM226" i="1"/>
  <c r="BC226" i="1"/>
  <c r="BN226" i="1"/>
  <c r="BQ226" i="1" s="1"/>
  <c r="BO226" i="1"/>
  <c r="CK226" i="1"/>
  <c r="AH227" i="1"/>
  <c r="AM227" i="1"/>
  <c r="BN227" i="1"/>
  <c r="BQ227" i="1" s="1"/>
  <c r="BO227" i="1"/>
  <c r="CK227" i="1"/>
  <c r="BN228" i="1"/>
  <c r="BQ228" i="1" s="1"/>
  <c r="AO229" i="1"/>
  <c r="CB229" i="1" s="1"/>
  <c r="AP229" i="1"/>
  <c r="AP230" i="1" s="1"/>
  <c r="AQ229" i="1"/>
  <c r="BP229" i="1"/>
  <c r="BQ229" i="1"/>
  <c r="BU229" i="1"/>
  <c r="BW229" i="1"/>
  <c r="BX229" i="1"/>
  <c r="BY229" i="1"/>
  <c r="CC229" i="1"/>
  <c r="CE229" i="1"/>
  <c r="CF229" i="1"/>
  <c r="CG229" i="1"/>
  <c r="CH229" i="1"/>
  <c r="B230" i="1"/>
  <c r="CB230" i="1"/>
  <c r="CC230" i="1"/>
  <c r="CD230" i="1"/>
  <c r="A232" i="1"/>
  <c r="B242" i="1" s="1"/>
  <c r="H232" i="1"/>
  <c r="G232" i="1"/>
  <c r="A233" i="1"/>
  <c r="G233" i="1"/>
  <c r="G234" i="1"/>
  <c r="G235" i="1"/>
  <c r="G236" i="1"/>
  <c r="G237" i="1"/>
  <c r="G238" i="1"/>
  <c r="G239" i="1"/>
  <c r="G240" i="1"/>
  <c r="H233" i="1"/>
  <c r="J233" i="1" s="1"/>
  <c r="H234" i="1"/>
  <c r="J234" i="1" s="1"/>
  <c r="H235" i="1"/>
  <c r="J235" i="1" s="1"/>
  <c r="H236" i="1"/>
  <c r="J236" i="1" s="1"/>
  <c r="H237" i="1"/>
  <c r="H238" i="1"/>
  <c r="J238" i="1" s="1"/>
  <c r="H239" i="1"/>
  <c r="J239" i="1" s="1"/>
  <c r="H240" i="1"/>
  <c r="J240" i="1" s="1"/>
  <c r="AI232" i="1"/>
  <c r="AI233" i="1"/>
  <c r="AH242" i="1" s="1"/>
  <c r="AL232" i="1"/>
  <c r="AO232" i="1" s="1"/>
  <c r="CC232" i="1" s="1"/>
  <c r="AN232" i="1"/>
  <c r="BN232" i="1"/>
  <c r="BQ232" i="1" s="1"/>
  <c r="BO232" i="1"/>
  <c r="AH233" i="1"/>
  <c r="AL233" i="1"/>
  <c r="CB233" i="1" s="1"/>
  <c r="AN233" i="1"/>
  <c r="BZ233" i="1"/>
  <c r="CA233" i="1"/>
  <c r="BZ234" i="1"/>
  <c r="CA234" i="1"/>
  <c r="CB234" i="1"/>
  <c r="CC234" i="1"/>
  <c r="BZ235" i="1"/>
  <c r="CA235" i="1"/>
  <c r="CB235" i="1"/>
  <c r="BZ236" i="1"/>
  <c r="CA236" i="1"/>
  <c r="CB236" i="1"/>
  <c r="BZ237" i="1"/>
  <c r="CA237" i="1"/>
  <c r="CC237" i="1" s="1"/>
  <c r="CB237" i="1"/>
  <c r="AP241" i="1"/>
  <c r="AP251" i="1"/>
  <c r="AP252" i="1" s="1"/>
  <c r="AQ241" i="1"/>
  <c r="BC241" i="1"/>
  <c r="T242" i="1"/>
  <c r="CD242" i="1"/>
  <c r="AO244" i="1"/>
  <c r="AO251" i="1" s="1"/>
  <c r="BN244" i="1"/>
  <c r="BP244" i="1" s="1"/>
  <c r="BO244" i="1"/>
  <c r="BN245" i="1"/>
  <c r="BP245" i="1" s="1"/>
  <c r="BO245" i="1"/>
  <c r="BV245" i="1"/>
  <c r="BN246" i="1"/>
  <c r="BO246" i="1"/>
  <c r="BV246" i="1"/>
  <c r="BN247" i="1"/>
  <c r="BP247" i="1" s="1"/>
  <c r="BO247" i="1"/>
  <c r="BV247" i="1"/>
  <c r="BN248" i="1"/>
  <c r="BP248" i="1" s="1"/>
  <c r="BO248" i="1"/>
  <c r="BN249" i="1"/>
  <c r="BP249" i="1" s="1"/>
  <c r="BQ251" i="1"/>
  <c r="BO249" i="1"/>
  <c r="BP251" i="1"/>
  <c r="BV250" i="1"/>
  <c r="AQ251" i="1"/>
  <c r="BC251" i="1"/>
  <c r="BS251" i="1"/>
  <c r="BU251" i="1"/>
  <c r="BW251" i="1"/>
  <c r="BX251" i="1"/>
  <c r="BX261" i="1" s="1"/>
  <c r="BX271" i="1" s="1"/>
  <c r="BY251" i="1"/>
  <c r="BY261" i="1" s="1"/>
  <c r="BY271" i="1" s="1"/>
  <c r="CC251" i="1"/>
  <c r="CE251" i="1"/>
  <c r="CF251" i="1"/>
  <c r="CG251" i="1"/>
  <c r="CG261" i="1" s="1"/>
  <c r="CG271" i="1" s="1"/>
  <c r="CH251" i="1"/>
  <c r="CH261" i="1" s="1"/>
  <c r="CH271" i="1" s="1"/>
  <c r="B252" i="1"/>
  <c r="BC252" i="1"/>
  <c r="BC272" i="1" s="1"/>
  <c r="CB252" i="1"/>
  <c r="CC252" i="1"/>
  <c r="CD271" i="1" s="1"/>
  <c r="CD252" i="1"/>
  <c r="G254" i="1"/>
  <c r="H254" i="1"/>
  <c r="I254" i="1" s="1"/>
  <c r="BN254" i="1"/>
  <c r="BQ254" i="1" s="1"/>
  <c r="BO254" i="1"/>
  <c r="G255" i="1"/>
  <c r="H255" i="1"/>
  <c r="J255" i="1" s="1"/>
  <c r="AZ256" i="1"/>
  <c r="BB256" i="1" s="1"/>
  <c r="AZ257" i="1"/>
  <c r="BA257" i="1" s="1"/>
  <c r="BN255" i="1"/>
  <c r="BQ255" i="1" s="1"/>
  <c r="BO255" i="1"/>
  <c r="BN256" i="1"/>
  <c r="BQ256" i="1" s="1"/>
  <c r="BO256" i="1"/>
  <c r="BV256" i="1"/>
  <c r="BV270" i="1"/>
  <c r="BV260" i="1"/>
  <c r="BV257" i="1"/>
  <c r="BU261" i="1"/>
  <c r="BN257" i="1"/>
  <c r="BQ257" i="1" s="1"/>
  <c r="BO257" i="1"/>
  <c r="BN258" i="1"/>
  <c r="BP258" i="1" s="1"/>
  <c r="BO258" i="1"/>
  <c r="BN259" i="1"/>
  <c r="BP259" i="1" s="1"/>
  <c r="BO259" i="1"/>
  <c r="AO261" i="1"/>
  <c r="CB261" i="1" s="1"/>
  <c r="AP261" i="1"/>
  <c r="AQ261" i="1"/>
  <c r="BC261" i="1"/>
  <c r="BS261" i="1"/>
  <c r="CC261" i="1"/>
  <c r="CE261" i="1"/>
  <c r="CF261" i="1"/>
  <c r="B262" i="1"/>
  <c r="I262" i="1"/>
  <c r="AH262" i="1"/>
  <c r="BC262" i="1"/>
  <c r="CB262" i="1"/>
  <c r="CC262" i="1"/>
  <c r="CD262" i="1"/>
  <c r="BN268" i="1"/>
  <c r="BQ268" i="1" s="1"/>
  <c r="BO268" i="1"/>
  <c r="BN269" i="1"/>
  <c r="BP269" i="1" s="1"/>
  <c r="BO269" i="1"/>
  <c r="AO271" i="1"/>
  <c r="CB271" i="1" s="1"/>
  <c r="AP271" i="1"/>
  <c r="AP272" i="1" s="1"/>
  <c r="AQ271" i="1"/>
  <c r="BC271" i="1"/>
  <c r="CC271" i="1"/>
  <c r="CE271" i="1"/>
  <c r="CF271" i="1"/>
  <c r="I272" i="1"/>
  <c r="CB272" i="1"/>
  <c r="CC272" i="1"/>
  <c r="CD272" i="1"/>
  <c r="BC122" i="1"/>
  <c r="AZ84" i="1"/>
  <c r="BB82" i="1"/>
  <c r="BB84" i="1" s="1"/>
  <c r="BB85" i="1" s="1"/>
  <c r="BC61" i="1"/>
  <c r="CB60" i="1"/>
  <c r="BP58" i="1"/>
  <c r="BS271" i="1"/>
  <c r="BU271" i="1"/>
  <c r="BQ247" i="1"/>
  <c r="B272" i="1"/>
  <c r="BB246" i="1"/>
  <c r="CB35" i="1"/>
  <c r="CB48" i="1" s="1"/>
  <c r="BA82" i="6"/>
  <c r="BA87" i="6" s="1"/>
  <c r="G53" i="6"/>
  <c r="BY49" i="6"/>
  <c r="AZ159" i="6"/>
  <c r="BA65" i="6"/>
  <c r="AG25" i="6"/>
  <c r="AZ23" i="6"/>
  <c r="AZ24" i="6" s="1"/>
  <c r="AZ31" i="6" s="1"/>
  <c r="AX12" i="6"/>
  <c r="BY8" i="6"/>
  <c r="BY13" i="6" s="1"/>
  <c r="AZ8" i="6"/>
  <c r="AZ12" i="6" s="1"/>
  <c r="AZ18" i="6" s="1"/>
  <c r="CD61" i="1"/>
  <c r="AZ65" i="6"/>
  <c r="BY50" i="6"/>
  <c r="AY33" i="6"/>
  <c r="AY45" i="6" s="1"/>
  <c r="BA8" i="6"/>
  <c r="BA18" i="6" s="1"/>
  <c r="J203" i="1"/>
  <c r="BB122" i="1"/>
  <c r="CC235" i="1"/>
  <c r="BV132" i="6"/>
  <c r="BV142" i="6" s="1"/>
  <c r="CA51" i="6"/>
  <c r="H143" i="6"/>
  <c r="AY64" i="6"/>
  <c r="AY70" i="6" s="1"/>
  <c r="AX70" i="6"/>
  <c r="BA64" i="6"/>
  <c r="AZ64" i="6"/>
  <c r="BB255" i="1"/>
  <c r="BQ258" i="1"/>
  <c r="BY70" i="6"/>
  <c r="CA48" i="6"/>
  <c r="BN8" i="6"/>
  <c r="BN17" i="6" s="1"/>
  <c r="BP232" i="1"/>
  <c r="BA200" i="1"/>
  <c r="BC222" i="1"/>
  <c r="BD223" i="1"/>
  <c r="BV20" i="6"/>
  <c r="S25" i="6"/>
  <c r="BB224" i="1"/>
  <c r="CA96" i="6"/>
  <c r="CC60" i="1"/>
  <c r="B114" i="1"/>
  <c r="F13" i="9"/>
  <c r="BB35" i="1"/>
  <c r="AZ19" i="1"/>
  <c r="AO19" i="1"/>
  <c r="CB19" i="1" s="1"/>
  <c r="BA19" i="1"/>
  <c r="CC236" i="1"/>
  <c r="BW105" i="1"/>
  <c r="AH272" i="1"/>
  <c r="BZ98" i="6"/>
  <c r="BV98" i="6"/>
  <c r="CB183" i="1"/>
  <c r="CB189" i="1" s="1"/>
  <c r="AY108" i="6"/>
  <c r="BA50" i="6"/>
  <c r="AZ50" i="6"/>
  <c r="AY50" i="6"/>
  <c r="BU166" i="6"/>
  <c r="BU65" i="6"/>
  <c r="BB221" i="1"/>
  <c r="BB222" i="1"/>
  <c r="BA222" i="1"/>
  <c r="BA228" i="1"/>
  <c r="BO161" i="6"/>
  <c r="AX102" i="6"/>
  <c r="BA49" i="6"/>
  <c r="BC228" i="1"/>
  <c r="BB61" i="1"/>
  <c r="CB61" i="1"/>
  <c r="AM233" i="1"/>
  <c r="BC206" i="1"/>
  <c r="BV66" i="6"/>
  <c r="BZ169" i="6"/>
  <c r="AF169" i="6"/>
  <c r="BV169" i="6"/>
  <c r="AZ188" i="1"/>
  <c r="BB108" i="1"/>
  <c r="BC108" i="1"/>
  <c r="AY158" i="6"/>
  <c r="AI272" i="1"/>
  <c r="BU33" i="6"/>
  <c r="CB58" i="1"/>
  <c r="BC8" i="1"/>
  <c r="BP246" i="1"/>
  <c r="BQ246" i="1"/>
  <c r="AZ157" i="6"/>
  <c r="BD58" i="1"/>
  <c r="C31" i="5"/>
  <c r="CD23" i="1"/>
  <c r="F31" i="5"/>
  <c r="G15" i="5"/>
  <c r="BQ249" i="1"/>
  <c r="AA31" i="5"/>
  <c r="S31" i="5"/>
  <c r="K31" i="5"/>
  <c r="X31" i="5"/>
  <c r="P31" i="5"/>
  <c r="H31" i="5"/>
  <c r="C23" i="5"/>
  <c r="AF137" i="5"/>
  <c r="D30" i="5"/>
  <c r="AC31" i="5"/>
  <c r="U31" i="5"/>
  <c r="O23" i="5"/>
  <c r="M31" i="5"/>
  <c r="G23" i="5"/>
  <c r="E31" i="5"/>
  <c r="Z31" i="5"/>
  <c r="T23" i="5"/>
  <c r="R31" i="5"/>
  <c r="L23" i="5"/>
  <c r="J31" i="5"/>
  <c r="E15" i="5"/>
  <c r="T31" i="5"/>
  <c r="L31" i="5"/>
  <c r="B1" i="6"/>
  <c r="BD227" i="1"/>
  <c r="I234" i="1"/>
  <c r="I235" i="1"/>
  <c r="BD61" i="1"/>
  <c r="BC224" i="1"/>
  <c r="T48" i="1"/>
  <c r="BA244" i="1"/>
  <c r="AI48" i="1"/>
  <c r="BB244" i="1"/>
  <c r="AZ47" i="1"/>
  <c r="BB209" i="1"/>
  <c r="BC36" i="1"/>
  <c r="J237" i="1"/>
  <c r="BB36" i="1"/>
  <c r="H242" i="1"/>
  <c r="H97" i="1"/>
  <c r="B97" i="1"/>
  <c r="J88" i="1"/>
  <c r="BB162" i="1"/>
  <c r="BW96" i="1"/>
  <c r="AG71" i="6"/>
  <c r="AO96" i="1"/>
  <c r="CB96" i="1" s="1"/>
  <c r="BD88" i="1"/>
  <c r="BA88" i="1"/>
  <c r="H13" i="6"/>
  <c r="H18" i="6" s="1"/>
  <c r="Z23" i="5"/>
  <c r="W23" i="5"/>
  <c r="S23" i="5"/>
  <c r="H23" i="5"/>
  <c r="I23" i="5"/>
  <c r="E23" i="5"/>
  <c r="D23" i="5"/>
  <c r="X23" i="5"/>
  <c r="U23" i="5"/>
  <c r="Q23" i="5"/>
  <c r="F23" i="5"/>
  <c r="B88" i="6"/>
  <c r="H88" i="6"/>
  <c r="BB201" i="1"/>
  <c r="BC92" i="1"/>
  <c r="BB92" i="1"/>
  <c r="S10" i="5"/>
  <c r="E11" i="5"/>
  <c r="S53" i="6"/>
  <c r="J95" i="9" s="1"/>
  <c r="M11" i="5"/>
  <c r="X10" i="5"/>
  <c r="H31" i="6"/>
  <c r="X26" i="5"/>
  <c r="BZ97" i="6"/>
  <c r="I26" i="5"/>
  <c r="BV97" i="6"/>
  <c r="AN61" i="6"/>
  <c r="I25" i="5"/>
  <c r="BW162" i="1"/>
  <c r="BW180" i="1" s="1"/>
  <c r="AZ180" i="1"/>
  <c r="T114" i="1"/>
  <c r="AH114" i="1"/>
  <c r="AI114" i="1"/>
  <c r="BP226" i="1"/>
  <c r="AB26" i="5"/>
  <c r="C26" i="5"/>
  <c r="T26" i="5"/>
  <c r="J26" i="5"/>
  <c r="W26" i="5"/>
  <c r="O26" i="5"/>
  <c r="W11" i="5"/>
  <c r="T11" i="5"/>
  <c r="AB10" i="5"/>
  <c r="H10" i="5"/>
  <c r="G11" i="5"/>
  <c r="W10" i="5"/>
  <c r="S11" i="5"/>
  <c r="P11" i="5"/>
  <c r="Z10" i="5"/>
  <c r="F10" i="5"/>
  <c r="N11" i="5"/>
  <c r="U10" i="5"/>
  <c r="C11" i="5"/>
  <c r="F11" i="5"/>
  <c r="D10" i="5"/>
  <c r="N10" i="5"/>
  <c r="U11" i="5"/>
  <c r="Z11" i="5"/>
  <c r="AC10" i="5"/>
  <c r="O10" i="5"/>
  <c r="V10" i="5"/>
  <c r="R10" i="5"/>
  <c r="C10" i="5"/>
  <c r="K10" i="5"/>
  <c r="BZ48" i="6"/>
  <c r="AD11" i="5"/>
  <c r="BV48" i="6"/>
  <c r="BV60" i="6" s="1"/>
  <c r="AB11" i="5"/>
  <c r="L10" i="5"/>
  <c r="Q11" i="5"/>
  <c r="V11" i="5"/>
  <c r="AA10" i="5"/>
  <c r="M10" i="5"/>
  <c r="L11" i="5"/>
  <c r="D11" i="5"/>
  <c r="AC11" i="5"/>
  <c r="G10" i="5"/>
  <c r="O11" i="5"/>
  <c r="I11" i="5"/>
  <c r="T10" i="5"/>
  <c r="P10" i="5"/>
  <c r="Y11" i="5"/>
  <c r="Q10" i="5"/>
  <c r="H11" i="5"/>
  <c r="AA11" i="5"/>
  <c r="X11" i="5"/>
  <c r="AD10" i="5"/>
  <c r="J10" i="5"/>
  <c r="J11" i="5"/>
  <c r="R11" i="5"/>
  <c r="Y10" i="5"/>
  <c r="AD23" i="5"/>
  <c r="Y31" i="5"/>
  <c r="N31" i="5"/>
  <c r="G25" i="5"/>
  <c r="R23" i="5"/>
  <c r="AG154" i="6"/>
  <c r="BU145" i="6"/>
  <c r="AF154" i="6"/>
  <c r="N26" i="5"/>
  <c r="Q27" i="5"/>
  <c r="Y27" i="5"/>
  <c r="F26" i="5"/>
  <c r="AC26" i="5"/>
  <c r="K27" i="5"/>
  <c r="Y26" i="5"/>
  <c r="J27" i="5"/>
  <c r="I27" i="5"/>
  <c r="D27" i="5"/>
  <c r="E26" i="5"/>
  <c r="H27" i="5"/>
  <c r="V26" i="5"/>
  <c r="AA27" i="5"/>
  <c r="S27" i="5"/>
  <c r="T27" i="5"/>
  <c r="L27" i="5"/>
  <c r="M27" i="5"/>
  <c r="G27" i="5"/>
  <c r="Q26" i="5"/>
  <c r="S26" i="5"/>
  <c r="M26" i="5"/>
  <c r="R26" i="5"/>
  <c r="AB27" i="5"/>
  <c r="E27" i="5"/>
  <c r="N27" i="5"/>
  <c r="W27" i="5"/>
  <c r="P27" i="5"/>
  <c r="P26" i="5"/>
  <c r="AC27" i="5"/>
  <c r="U27" i="5"/>
  <c r="V27" i="5"/>
  <c r="X27" i="5"/>
  <c r="G26" i="5"/>
  <c r="C27" i="5"/>
  <c r="BV96" i="6"/>
  <c r="D26" i="5"/>
  <c r="Z26" i="5"/>
  <c r="AD27" i="5"/>
  <c r="AD26" i="5"/>
  <c r="R27" i="5"/>
  <c r="O27" i="5"/>
  <c r="BZ96" i="6"/>
  <c r="L26" i="5"/>
  <c r="AA26" i="5"/>
  <c r="F27" i="5"/>
  <c r="Z27" i="5"/>
  <c r="U26" i="5"/>
  <c r="K26" i="5"/>
  <c r="H26" i="5"/>
  <c r="V31" i="5"/>
  <c r="Q31" i="5"/>
  <c r="W31" i="5"/>
  <c r="O31" i="5"/>
  <c r="AB31" i="5"/>
  <c r="C30" i="5"/>
  <c r="AN121" i="6"/>
  <c r="CA145" i="6"/>
  <c r="G31" i="5"/>
  <c r="D31" i="5"/>
  <c r="F25" i="5"/>
  <c r="M25" i="5"/>
  <c r="J25" i="5"/>
  <c r="H25" i="5"/>
  <c r="L25" i="5"/>
  <c r="BX54" i="1"/>
  <c r="CC35" i="1"/>
  <c r="BV35" i="1"/>
  <c r="Y48" i="1"/>
  <c r="BA35" i="1"/>
  <c r="BA47" i="1" s="1"/>
  <c r="CD35" i="1"/>
  <c r="AO47" i="1"/>
  <c r="CB47" i="1" s="1"/>
  <c r="AH163" i="1"/>
  <c r="AI163" i="1"/>
  <c r="BV30" i="1"/>
  <c r="AO32" i="1"/>
  <c r="BD30" i="1"/>
  <c r="BP8" i="1"/>
  <c r="J33" i="1"/>
  <c r="B33" i="1"/>
  <c r="E35" i="9" s="1"/>
  <c r="H35" i="9" s="1"/>
  <c r="AO180" i="1"/>
  <c r="CB180" i="1" s="1"/>
  <c r="BS119" i="1"/>
  <c r="H154" i="6"/>
  <c r="I153" i="6"/>
  <c r="B154" i="6"/>
  <c r="J154" i="6"/>
  <c r="I32" i="1"/>
  <c r="Y181" i="1"/>
  <c r="AO113" i="1"/>
  <c r="CB113" i="1" s="1"/>
  <c r="BA108" i="1"/>
  <c r="BB103" i="6"/>
  <c r="B53" i="6"/>
  <c r="B61" i="6"/>
  <c r="I15" i="5"/>
  <c r="I128" i="6"/>
  <c r="J129" i="6"/>
  <c r="J74" i="9" s="1"/>
  <c r="K74" i="9" s="1"/>
  <c r="H129" i="6"/>
  <c r="B129" i="6"/>
  <c r="H163" i="1"/>
  <c r="E68" i="9" s="1"/>
  <c r="AZ162" i="1"/>
  <c r="BB183" i="1"/>
  <c r="BB188" i="1" s="1"/>
  <c r="CB188" i="1"/>
  <c r="CC183" i="1"/>
  <c r="CC189" i="1" s="1"/>
  <c r="CD183" i="1"/>
  <c r="CB163" i="1"/>
  <c r="BX162" i="1"/>
  <c r="BX163" i="1" s="1"/>
  <c r="BX180" i="1" s="1"/>
  <c r="BC162" i="1"/>
  <c r="AZ32" i="1"/>
  <c r="AO203" i="1"/>
  <c r="Y163" i="1"/>
  <c r="AF279" i="5"/>
  <c r="AH52" i="5"/>
  <c r="K107" i="9" s="1"/>
  <c r="C250" i="5"/>
  <c r="D250" i="5" s="1"/>
  <c r="AH35" i="5"/>
  <c r="D279" i="5"/>
  <c r="C65" i="5"/>
  <c r="F279" i="5"/>
  <c r="E279" i="5"/>
  <c r="BU93" i="6" l="1"/>
  <c r="L15" i="5"/>
  <c r="AF71" i="6"/>
  <c r="BB47" i="1"/>
  <c r="BB55" i="1" s="1"/>
  <c r="D15" i="5"/>
  <c r="J254" i="1"/>
  <c r="S46" i="6"/>
  <c r="BV170" i="6"/>
  <c r="BC221" i="1"/>
  <c r="BB219" i="1"/>
  <c r="BA108" i="6"/>
  <c r="AZ70" i="6"/>
  <c r="AZ80" i="6" s="1"/>
  <c r="BP218" i="1"/>
  <c r="BB100" i="1"/>
  <c r="BQ109" i="6"/>
  <c r="BT79" i="6"/>
  <c r="BA109" i="1"/>
  <c r="T24" i="5"/>
  <c r="S24" i="5"/>
  <c r="L16" i="5"/>
  <c r="U17" i="5"/>
  <c r="V15" i="5"/>
  <c r="I255" i="1"/>
  <c r="BQ29" i="1"/>
  <c r="AY157" i="6"/>
  <c r="AZ113" i="1"/>
  <c r="AZ120" i="1" s="1"/>
  <c r="AZ85" i="1"/>
  <c r="BC219" i="1"/>
  <c r="CC59" i="1"/>
  <c r="AN164" i="6"/>
  <c r="AN143" i="6"/>
  <c r="J90" i="1"/>
  <c r="J97" i="1" s="1"/>
  <c r="BA90" i="1"/>
  <c r="AB16" i="5"/>
  <c r="H24" i="5"/>
  <c r="G24" i="5"/>
  <c r="H17" i="5"/>
  <c r="I156" i="6"/>
  <c r="I163" i="6" s="1"/>
  <c r="S71" i="6"/>
  <c r="AC14" i="5"/>
  <c r="BC29" i="1"/>
  <c r="AO55" i="1"/>
  <c r="D25" i="5"/>
  <c r="X6" i="5"/>
  <c r="AY49" i="6"/>
  <c r="BP221" i="1"/>
  <c r="J15" i="5"/>
  <c r="E25" i="5"/>
  <c r="BQ259" i="1"/>
  <c r="BP255" i="1"/>
  <c r="BA157" i="6"/>
  <c r="BT173" i="6"/>
  <c r="BV65" i="6"/>
  <c r="BV79" i="6" s="1"/>
  <c r="AF46" i="6"/>
  <c r="V14" i="5"/>
  <c r="Q30" i="5"/>
  <c r="P24" i="5"/>
  <c r="CK84" i="6"/>
  <c r="CN84" i="6" s="1"/>
  <c r="AH215" i="1"/>
  <c r="J95" i="1"/>
  <c r="BA247" i="1"/>
  <c r="Z24" i="5"/>
  <c r="Y24" i="5"/>
  <c r="K24" i="5"/>
  <c r="CL92" i="6"/>
  <c r="BQ192" i="1"/>
  <c r="R15" i="5"/>
  <c r="BV33" i="1"/>
  <c r="I207" i="1"/>
  <c r="N15" i="5"/>
  <c r="BC227" i="1"/>
  <c r="BB212" i="1"/>
  <c r="CD209" i="1"/>
  <c r="CK162" i="6"/>
  <c r="CN162" i="6" s="1"/>
  <c r="CL158" i="6"/>
  <c r="BP163" i="6"/>
  <c r="CA163" i="6"/>
  <c r="BA113" i="1"/>
  <c r="K25" i="5"/>
  <c r="I209" i="1"/>
  <c r="BQ261" i="1"/>
  <c r="BA199" i="1"/>
  <c r="BC58" i="1"/>
  <c r="BA166" i="6"/>
  <c r="CC208" i="1"/>
  <c r="AY161" i="6"/>
  <c r="BB58" i="1"/>
  <c r="BN107" i="6"/>
  <c r="BQ107" i="6"/>
  <c r="S30" i="5"/>
  <c r="R30" i="5"/>
  <c r="L24" i="5"/>
  <c r="E30" i="5"/>
  <c r="J91" i="6"/>
  <c r="J94" i="6" s="1"/>
  <c r="H189" i="1"/>
  <c r="BX96" i="1"/>
  <c r="BX97" i="1" s="1"/>
  <c r="BX105" i="1" s="1"/>
  <c r="BA102" i="1"/>
  <c r="AD14" i="5"/>
  <c r="AB24" i="5"/>
  <c r="AA30" i="5"/>
  <c r="X16" i="5"/>
  <c r="T30" i="5"/>
  <c r="R14" i="5"/>
  <c r="P14" i="5"/>
  <c r="O16" i="5"/>
  <c r="M24" i="5"/>
  <c r="I24" i="5"/>
  <c r="E14" i="5"/>
  <c r="D14" i="5"/>
  <c r="C17" i="5"/>
  <c r="BB8" i="1"/>
  <c r="AA25" i="5"/>
  <c r="V17" i="5"/>
  <c r="P17" i="5"/>
  <c r="M17" i="5"/>
  <c r="P15" i="5"/>
  <c r="I8" i="6"/>
  <c r="I12" i="6" s="1"/>
  <c r="CL170" i="6"/>
  <c r="CK160" i="6"/>
  <c r="CM160" i="6" s="1"/>
  <c r="CL147" i="6"/>
  <c r="BV120" i="6"/>
  <c r="M17" i="6"/>
  <c r="CS156" i="6"/>
  <c r="AZ261" i="1"/>
  <c r="AZ262" i="1" s="1"/>
  <c r="AY48" i="6"/>
  <c r="S87" i="6"/>
  <c r="CK66" i="6"/>
  <c r="CN66" i="6" s="1"/>
  <c r="CK169" i="6"/>
  <c r="CM169" i="6" s="1"/>
  <c r="G163" i="6"/>
  <c r="BB198" i="1"/>
  <c r="BA161" i="6"/>
  <c r="CB84" i="1"/>
  <c r="AM232" i="1"/>
  <c r="CD235" i="1"/>
  <c r="BS164" i="6"/>
  <c r="BZ154" i="6"/>
  <c r="BP30" i="6"/>
  <c r="AN18" i="6"/>
  <c r="I82" i="6"/>
  <c r="I87" i="6" s="1"/>
  <c r="AC16" i="5"/>
  <c r="W14" i="5"/>
  <c r="O14" i="5"/>
  <c r="AH44" i="5"/>
  <c r="C15" i="5"/>
  <c r="X17" i="5"/>
  <c r="CS98" i="6"/>
  <c r="CL67" i="6"/>
  <c r="CK12" i="6"/>
  <c r="H87" i="6"/>
  <c r="CT160" i="6"/>
  <c r="BP225" i="1"/>
  <c r="AX87" i="6"/>
  <c r="BY93" i="6"/>
  <c r="T87" i="6"/>
  <c r="BA94" i="6"/>
  <c r="CK156" i="6"/>
  <c r="CN156" i="6" s="1"/>
  <c r="CS70" i="6"/>
  <c r="CO24" i="6"/>
  <c r="AY167" i="6"/>
  <c r="BO160" i="6"/>
  <c r="CL159" i="6"/>
  <c r="BP79" i="6"/>
  <c r="BN55" i="6"/>
  <c r="BN60" i="6" s="1"/>
  <c r="CT167" i="6"/>
  <c r="V16" i="5"/>
  <c r="N16" i="5"/>
  <c r="E17" i="5"/>
  <c r="AG88" i="6"/>
  <c r="CT11" i="6"/>
  <c r="B87" i="6"/>
  <c r="CL66" i="6"/>
  <c r="CL21" i="6"/>
  <c r="CL156" i="6"/>
  <c r="CT49" i="6"/>
  <c r="T24" i="6"/>
  <c r="CS24" i="6"/>
  <c r="CK152" i="6"/>
  <c r="CN152" i="6" s="1"/>
  <c r="CL20" i="6"/>
  <c r="CL101" i="6"/>
  <c r="CT82" i="6"/>
  <c r="H137" i="1"/>
  <c r="G137" i="1"/>
  <c r="CK68" i="6"/>
  <c r="BP60" i="6"/>
  <c r="AY18" i="6"/>
  <c r="BA217" i="1"/>
  <c r="AB14" i="5"/>
  <c r="Z16" i="5"/>
  <c r="U16" i="5"/>
  <c r="K16" i="5"/>
  <c r="AC17" i="5"/>
  <c r="W17" i="5"/>
  <c r="H14" i="1"/>
  <c r="BP93" i="6"/>
  <c r="L45" i="6"/>
  <c r="H12" i="6"/>
  <c r="J28" i="9" s="1"/>
  <c r="J29" i="9" s="1"/>
  <c r="K29" i="9" s="1"/>
  <c r="CK170" i="6"/>
  <c r="CM170" i="6" s="1"/>
  <c r="CK168" i="6"/>
  <c r="CO163" i="6"/>
  <c r="BU60" i="6"/>
  <c r="CL22" i="6"/>
  <c r="BA85" i="1"/>
  <c r="G242" i="1"/>
  <c r="CK101" i="6"/>
  <c r="CN101" i="6" s="1"/>
  <c r="S142" i="6"/>
  <c r="BO49" i="6"/>
  <c r="BY96" i="6"/>
  <c r="BY103" i="6" s="1"/>
  <c r="CL48" i="6"/>
  <c r="CS147" i="6"/>
  <c r="CK49" i="6"/>
  <c r="CN49" i="6" s="1"/>
  <c r="CS45" i="6"/>
  <c r="BP122" i="1"/>
  <c r="BP268" i="1"/>
  <c r="BA158" i="6"/>
  <c r="I68" i="6"/>
  <c r="BQ220" i="1"/>
  <c r="AH67" i="1"/>
  <c r="BP9" i="1"/>
  <c r="BB223" i="1"/>
  <c r="AM61" i="6"/>
  <c r="AX142" i="6"/>
  <c r="AX143" i="6" s="1"/>
  <c r="BU23" i="6"/>
  <c r="BC223" i="1"/>
  <c r="AP203" i="1"/>
  <c r="AP55" i="1"/>
  <c r="BY154" i="6"/>
  <c r="BQ111" i="6"/>
  <c r="AY80" i="6"/>
  <c r="CL65" i="6"/>
  <c r="BO50" i="6"/>
  <c r="BS61" i="6"/>
  <c r="CL23" i="6"/>
  <c r="Z14" i="5"/>
  <c r="X24" i="5"/>
  <c r="V30" i="5"/>
  <c r="T16" i="5"/>
  <c r="R24" i="5"/>
  <c r="N30" i="5"/>
  <c r="K14" i="5"/>
  <c r="I14" i="5"/>
  <c r="H16" i="5"/>
  <c r="AH20" i="5"/>
  <c r="E24" i="5"/>
  <c r="D24" i="5"/>
  <c r="Q17" i="5"/>
  <c r="N17" i="5"/>
  <c r="AX45" i="6"/>
  <c r="BV155" i="1"/>
  <c r="L153" i="6"/>
  <c r="CT84" i="6"/>
  <c r="BA96" i="6"/>
  <c r="BA102" i="6" s="1"/>
  <c r="M87" i="6"/>
  <c r="AY96" i="6"/>
  <c r="AY102" i="6" s="1"/>
  <c r="CK50" i="6"/>
  <c r="CN50" i="6" s="1"/>
  <c r="CK148" i="6"/>
  <c r="CM148" i="6" s="1"/>
  <c r="CS21" i="6"/>
  <c r="CM45" i="6"/>
  <c r="BQ245" i="1"/>
  <c r="AZ33" i="6"/>
  <c r="AZ45" i="6" s="1"/>
  <c r="AZ158" i="6"/>
  <c r="AZ163" i="6" s="1"/>
  <c r="AZ164" i="6" s="1"/>
  <c r="BZ103" i="6"/>
  <c r="CA53" i="6"/>
  <c r="I132" i="6"/>
  <c r="I142" i="6" s="1"/>
  <c r="CK146" i="6"/>
  <c r="BO108" i="6"/>
  <c r="CT69" i="6"/>
  <c r="BN48" i="6"/>
  <c r="AX52" i="6"/>
  <c r="AX61" i="6" s="1"/>
  <c r="CK10" i="6"/>
  <c r="CK97" i="6"/>
  <c r="CM97" i="6" s="1"/>
  <c r="CN70" i="6"/>
  <c r="CS50" i="6"/>
  <c r="CL145" i="6"/>
  <c r="CL68" i="6"/>
  <c r="BQ217" i="1"/>
  <c r="BP69" i="1"/>
  <c r="BP74" i="1" s="1"/>
  <c r="BC120" i="1"/>
  <c r="I67" i="6"/>
  <c r="I70" i="6" s="1"/>
  <c r="AO233" i="1"/>
  <c r="CC233" i="1" s="1"/>
  <c r="CD251" i="1" s="1"/>
  <c r="BB206" i="1"/>
  <c r="CD234" i="1"/>
  <c r="AM80" i="6"/>
  <c r="AZ82" i="6"/>
  <c r="AZ87" i="6" s="1"/>
  <c r="AZ94" i="6" s="1"/>
  <c r="AX18" i="6"/>
  <c r="AH68" i="5"/>
  <c r="BP173" i="6"/>
  <c r="BT163" i="6"/>
  <c r="AM143" i="6"/>
  <c r="BO106" i="6"/>
  <c r="BO120" i="6" s="1"/>
  <c r="BT93" i="6"/>
  <c r="BN51" i="6"/>
  <c r="AY31" i="6"/>
  <c r="CK21" i="6"/>
  <c r="CM21" i="6" s="1"/>
  <c r="BA208" i="1"/>
  <c r="AC24" i="5"/>
  <c r="AB30" i="5"/>
  <c r="Y16" i="5"/>
  <c r="W24" i="5"/>
  <c r="T14" i="5"/>
  <c r="O24" i="5"/>
  <c r="M30" i="5"/>
  <c r="H14" i="5"/>
  <c r="F16" i="5"/>
  <c r="Y17" i="5"/>
  <c r="T17" i="5"/>
  <c r="CS160" i="6"/>
  <c r="S164" i="6"/>
  <c r="AD16" i="5"/>
  <c r="Z30" i="5"/>
  <c r="Y14" i="5"/>
  <c r="V24" i="5"/>
  <c r="U30" i="5"/>
  <c r="S14" i="5"/>
  <c r="R16" i="5"/>
  <c r="P16" i="5"/>
  <c r="N24" i="5"/>
  <c r="L30" i="5"/>
  <c r="G16" i="5"/>
  <c r="F14" i="5"/>
  <c r="D16" i="5"/>
  <c r="AH29" i="5"/>
  <c r="BZ128" i="6"/>
  <c r="CA128" i="6"/>
  <c r="BZ129" i="6"/>
  <c r="CN68" i="6"/>
  <c r="CM68" i="6"/>
  <c r="CO68" i="6" s="1"/>
  <c r="CM146" i="6"/>
  <c r="CN146" i="6"/>
  <c r="CO146" i="6" s="1"/>
  <c r="D7" i="5"/>
  <c r="J68" i="6"/>
  <c r="BA55" i="1"/>
  <c r="D6" i="5"/>
  <c r="AG129" i="6"/>
  <c r="P7" i="5"/>
  <c r="BO51" i="6"/>
  <c r="BA51" i="6"/>
  <c r="BA105" i="1"/>
  <c r="AF129" i="6"/>
  <c r="CM24" i="6"/>
  <c r="CT10" i="6"/>
  <c r="L87" i="6"/>
  <c r="F7" i="5"/>
  <c r="AA6" i="5"/>
  <c r="T6" i="5"/>
  <c r="CT21" i="6"/>
  <c r="CM93" i="6"/>
  <c r="CT91" i="6"/>
  <c r="M45" i="6"/>
  <c r="AZ214" i="1"/>
  <c r="BB218" i="1"/>
  <c r="AY51" i="6"/>
  <c r="AQ55" i="1"/>
  <c r="CL33" i="6"/>
  <c r="CL45" i="6" s="1"/>
  <c r="CL46" i="6" s="1"/>
  <c r="CK82" i="6"/>
  <c r="CM82" i="6" s="1"/>
  <c r="H6" i="5"/>
  <c r="C6" i="5"/>
  <c r="Z6" i="5"/>
  <c r="AM18" i="6"/>
  <c r="CL11" i="6"/>
  <c r="CN45" i="6"/>
  <c r="CL169" i="6"/>
  <c r="CT158" i="6"/>
  <c r="L24" i="6"/>
  <c r="J208" i="1"/>
  <c r="AY55" i="6"/>
  <c r="AY60" i="6" s="1"/>
  <c r="BY51" i="6"/>
  <c r="CB122" i="1"/>
  <c r="CB137" i="1" s="1"/>
  <c r="BA210" i="1"/>
  <c r="I97" i="6"/>
  <c r="I48" i="6"/>
  <c r="I52" i="6" s="1"/>
  <c r="I61" i="6" s="1"/>
  <c r="I99" i="6"/>
  <c r="I98" i="6"/>
  <c r="CD123" i="1"/>
  <c r="CD137" i="1" s="1"/>
  <c r="I6" i="5"/>
  <c r="CK67" i="6"/>
  <c r="CM67" i="6" s="1"/>
  <c r="BA195" i="1"/>
  <c r="AF88" i="6"/>
  <c r="CL49" i="6"/>
  <c r="CK167" i="6"/>
  <c r="AY160" i="6"/>
  <c r="CS65" i="6"/>
  <c r="B93" i="6"/>
  <c r="J6" i="5"/>
  <c r="BB48" i="6"/>
  <c r="CO153" i="6"/>
  <c r="L17" i="6"/>
  <c r="L7" i="5"/>
  <c r="V6" i="5"/>
  <c r="BQ118" i="1"/>
  <c r="BQ119" i="1" s="1"/>
  <c r="CK8" i="6"/>
  <c r="CN8" i="6" s="1"/>
  <c r="CN12" i="6" s="1"/>
  <c r="L70" i="6"/>
  <c r="B79" i="6"/>
  <c r="CK22" i="6"/>
  <c r="CN22" i="6" s="1"/>
  <c r="CT22" i="6"/>
  <c r="CS85" i="6"/>
  <c r="B70" i="6"/>
  <c r="BB29" i="1"/>
  <c r="BY128" i="6"/>
  <c r="BA159" i="6"/>
  <c r="BB227" i="1"/>
  <c r="CC209" i="1"/>
  <c r="CC214" i="1" s="1"/>
  <c r="AZ169" i="6"/>
  <c r="BA192" i="1"/>
  <c r="CT157" i="6"/>
  <c r="CT156" i="6"/>
  <c r="T142" i="6"/>
  <c r="K7" i="5"/>
  <c r="S6" i="5"/>
  <c r="CT149" i="6"/>
  <c r="G79" i="6"/>
  <c r="G142" i="6"/>
  <c r="I45" i="6"/>
  <c r="CS66" i="6"/>
  <c r="BB57" i="1"/>
  <c r="BB66" i="1" s="1"/>
  <c r="BB75" i="1" s="1"/>
  <c r="CB74" i="1"/>
  <c r="BA160" i="6"/>
  <c r="BP59" i="1"/>
  <c r="BB208" i="1"/>
  <c r="CK83" i="6"/>
  <c r="CN83" i="6" s="1"/>
  <c r="Y6" i="5"/>
  <c r="BA59" i="1"/>
  <c r="M6" i="5"/>
  <c r="CS51" i="6"/>
  <c r="BA167" i="6"/>
  <c r="H70" i="6"/>
  <c r="CD117" i="1"/>
  <c r="Q7" i="5"/>
  <c r="F6" i="5"/>
  <c r="L163" i="6"/>
  <c r="CN30" i="6"/>
  <c r="CS33" i="6"/>
  <c r="M30" i="6"/>
  <c r="CL51" i="6"/>
  <c r="AI55" i="1"/>
  <c r="A170" i="6"/>
  <c r="CS170" i="6" s="1"/>
  <c r="BB90" i="1"/>
  <c r="BB96" i="1" s="1"/>
  <c r="BA80" i="6"/>
  <c r="BP140" i="1"/>
  <c r="AF167" i="6"/>
  <c r="AH97" i="1"/>
  <c r="M12" i="6"/>
  <c r="AZ33" i="1"/>
  <c r="Q6" i="5"/>
  <c r="CK20" i="6"/>
  <c r="CT24" i="6"/>
  <c r="CT25" i="6" s="1"/>
  <c r="H7" i="5"/>
  <c r="H128" i="6"/>
  <c r="J72" i="9" s="1"/>
  <c r="K72" i="9" s="1"/>
  <c r="CT145" i="6"/>
  <c r="B17" i="6"/>
  <c r="BC22" i="1"/>
  <c r="AX80" i="6"/>
  <c r="BY160" i="6"/>
  <c r="O7" i="5"/>
  <c r="BQ89" i="1"/>
  <c r="CL83" i="6"/>
  <c r="BD109" i="1"/>
  <c r="BQ271" i="1"/>
  <c r="CL10" i="6"/>
  <c r="E7" i="5"/>
  <c r="K6" i="5"/>
  <c r="CT163" i="6"/>
  <c r="W6" i="5"/>
  <c r="CB22" i="1"/>
  <c r="CB27" i="1" s="1"/>
  <c r="BB8" i="6"/>
  <c r="BB13" i="6" s="1"/>
  <c r="BB18" i="6" s="1"/>
  <c r="CM156" i="6"/>
  <c r="CO156" i="6" s="1"/>
  <c r="AF166" i="6"/>
  <c r="BB64" i="6"/>
  <c r="CK157" i="6"/>
  <c r="CN157" i="6" s="1"/>
  <c r="G7" i="5"/>
  <c r="M142" i="6"/>
  <c r="J122" i="1"/>
  <c r="J137" i="1" s="1"/>
  <c r="CS161" i="6"/>
  <c r="G52" i="6"/>
  <c r="G60" i="6" s="1"/>
  <c r="G61" i="6" s="1"/>
  <c r="CM87" i="6"/>
  <c r="BA23" i="6"/>
  <c r="BA31" i="6" s="1"/>
  <c r="BA55" i="6"/>
  <c r="BA60" i="6" s="1"/>
  <c r="BY54" i="1"/>
  <c r="BC25" i="1"/>
  <c r="CT8" i="6"/>
  <c r="CT12" i="6" s="1"/>
  <c r="J69" i="6"/>
  <c r="J205" i="1"/>
  <c r="J215" i="1" s="1"/>
  <c r="J230" i="1" s="1"/>
  <c r="J67" i="6"/>
  <c r="U7" i="5"/>
  <c r="CL162" i="6"/>
  <c r="CT98" i="6"/>
  <c r="AZ26" i="1"/>
  <c r="V7" i="5"/>
  <c r="CS69" i="6"/>
  <c r="BA24" i="1"/>
  <c r="BA26" i="1" s="1"/>
  <c r="CS150" i="6"/>
  <c r="CL146" i="6"/>
  <c r="CK11" i="6"/>
  <c r="BP108" i="1"/>
  <c r="BP119" i="1" s="1"/>
  <c r="M7" i="5"/>
  <c r="BQ269" i="1"/>
  <c r="CO70" i="6"/>
  <c r="CS92" i="6"/>
  <c r="CT45" i="6"/>
  <c r="CT46" i="6" s="1"/>
  <c r="CK69" i="6"/>
  <c r="X52" i="6"/>
  <c r="J109" i="1"/>
  <c r="J114" i="1" s="1"/>
  <c r="AX24" i="6"/>
  <c r="AX31" i="6" s="1"/>
  <c r="BO55" i="6"/>
  <c r="BO60" i="6" s="1"/>
  <c r="AZ55" i="6"/>
  <c r="AZ60" i="6" s="1"/>
  <c r="BB257" i="1"/>
  <c r="AG46" i="6"/>
  <c r="BC209" i="1"/>
  <c r="AZ13" i="1"/>
  <c r="AZ20" i="1" s="1"/>
  <c r="AA7" i="5"/>
  <c r="C7" i="5"/>
  <c r="BV120" i="1"/>
  <c r="CM152" i="6"/>
  <c r="CO152" i="6" s="1"/>
  <c r="BA48" i="6"/>
  <c r="N7" i="5"/>
  <c r="E6" i="5"/>
  <c r="J7" i="5"/>
  <c r="CK91" i="6"/>
  <c r="CM91" i="6" s="1"/>
  <c r="M52" i="6"/>
  <c r="P6" i="5"/>
  <c r="CL167" i="6"/>
  <c r="CK33" i="6"/>
  <c r="CK45" i="6" s="1"/>
  <c r="AY169" i="6"/>
  <c r="CS87" i="6"/>
  <c r="CM153" i="6"/>
  <c r="CS159" i="6"/>
  <c r="CA123" i="6"/>
  <c r="CA129" i="6" s="1"/>
  <c r="L60" i="6"/>
  <c r="CO30" i="6"/>
  <c r="H24" i="6"/>
  <c r="M24" i="6"/>
  <c r="AM164" i="6"/>
  <c r="BB196" i="1"/>
  <c r="BZ35" i="6"/>
  <c r="BZ45" i="6" s="1"/>
  <c r="BV252" i="1"/>
  <c r="BV262" i="1" s="1"/>
  <c r="BZ167" i="6"/>
  <c r="B142" i="6"/>
  <c r="CK149" i="6"/>
  <c r="CS83" i="6"/>
  <c r="J22" i="1"/>
  <c r="J27" i="1" s="1"/>
  <c r="BV8" i="6"/>
  <c r="CK151" i="6"/>
  <c r="CT86" i="6"/>
  <c r="B128" i="6"/>
  <c r="J71" i="9" s="1"/>
  <c r="K71" i="9" s="1"/>
  <c r="B153" i="6"/>
  <c r="B163" i="6"/>
  <c r="CT150" i="6"/>
  <c r="CD22" i="1"/>
  <c r="CC27" i="1" s="1"/>
  <c r="U14" i="5"/>
  <c r="C24" i="5"/>
  <c r="BN108" i="6"/>
  <c r="CK51" i="6"/>
  <c r="CM51" i="6" s="1"/>
  <c r="T93" i="6"/>
  <c r="CS20" i="6"/>
  <c r="BZ8" i="6"/>
  <c r="CS167" i="6"/>
  <c r="CL96" i="6"/>
  <c r="CS23" i="6"/>
  <c r="AY159" i="6"/>
  <c r="AY163" i="6" s="1"/>
  <c r="AY164" i="6" s="1"/>
  <c r="AP75" i="1"/>
  <c r="B52" i="6"/>
  <c r="W7" i="5"/>
  <c r="AZ229" i="1"/>
  <c r="AZ230" i="1" s="1"/>
  <c r="J48" i="6"/>
  <c r="J53" i="6" s="1"/>
  <c r="CT101" i="6"/>
  <c r="BZ170" i="6"/>
  <c r="G153" i="6"/>
  <c r="AC7" i="5"/>
  <c r="CM70" i="6"/>
  <c r="CT23" i="6"/>
  <c r="CO93" i="6"/>
  <c r="H79" i="6"/>
  <c r="CT30" i="6"/>
  <c r="H52" i="6"/>
  <c r="J36" i="9" s="1"/>
  <c r="K36" i="9" s="1"/>
  <c r="CS153" i="6"/>
  <c r="CT33" i="6"/>
  <c r="BC188" i="1"/>
  <c r="CT48" i="6"/>
  <c r="CT52" i="6" s="1"/>
  <c r="CT53" i="6" s="1"/>
  <c r="CS145" i="6"/>
  <c r="CS146" i="6"/>
  <c r="CS163" i="6"/>
  <c r="U6" i="5"/>
  <c r="CS151" i="6"/>
  <c r="CK30" i="6"/>
  <c r="S7" i="5"/>
  <c r="CT159" i="6"/>
  <c r="CS68" i="6"/>
  <c r="BB65" i="6"/>
  <c r="AM174" i="6"/>
  <c r="S12" i="6"/>
  <c r="CO45" i="6"/>
  <c r="CL98" i="6"/>
  <c r="BA12" i="6"/>
  <c r="R7" i="5"/>
  <c r="CT92" i="6"/>
  <c r="CS93" i="6"/>
  <c r="L30" i="6"/>
  <c r="CS67" i="6"/>
  <c r="BB197" i="1"/>
  <c r="BC57" i="1"/>
  <c r="BB51" i="6"/>
  <c r="BP228" i="1"/>
  <c r="CA49" i="6"/>
  <c r="BQ222" i="1"/>
  <c r="AY168" i="6"/>
  <c r="BA226" i="1"/>
  <c r="BZ168" i="6"/>
  <c r="N14" i="5"/>
  <c r="G14" i="5"/>
  <c r="Z25" i="5"/>
  <c r="CM163" i="6"/>
  <c r="G215" i="1"/>
  <c r="CS162" i="6"/>
  <c r="O6" i="5"/>
  <c r="CT83" i="6"/>
  <c r="AF168" i="6"/>
  <c r="CT68" i="6"/>
  <c r="AX94" i="6"/>
  <c r="BP30" i="1"/>
  <c r="BP32" i="1" s="1"/>
  <c r="CT87" i="6"/>
  <c r="CT88" i="6" s="1"/>
  <c r="CT153" i="6"/>
  <c r="CS158" i="6"/>
  <c r="M128" i="6"/>
  <c r="AC6" i="5"/>
  <c r="M60" i="6"/>
  <c r="G128" i="6"/>
  <c r="T52" i="6"/>
  <c r="CS22" i="6"/>
  <c r="X7" i="5"/>
  <c r="AG174" i="6"/>
  <c r="J8" i="6"/>
  <c r="J13" i="6" s="1"/>
  <c r="H153" i="6"/>
  <c r="CL86" i="6"/>
  <c r="CK96" i="6"/>
  <c r="CM96" i="6" s="1"/>
  <c r="Y7" i="5"/>
  <c r="CK64" i="6"/>
  <c r="M70" i="6"/>
  <c r="CL84" i="6"/>
  <c r="BD207" i="1"/>
  <c r="BY167" i="6"/>
  <c r="AY170" i="6"/>
  <c r="BC60" i="1"/>
  <c r="BB233" i="1"/>
  <c r="BZ166" i="6"/>
  <c r="AI215" i="1"/>
  <c r="AA24" i="5"/>
  <c r="Q24" i="5"/>
  <c r="J24" i="5"/>
  <c r="C14" i="5"/>
  <c r="AM31" i="6"/>
  <c r="CL148" i="6"/>
  <c r="CS64" i="6"/>
  <c r="CL8" i="6"/>
  <c r="CK100" i="6"/>
  <c r="CM100" i="6" s="1"/>
  <c r="CS86" i="6"/>
  <c r="J94" i="1"/>
  <c r="CO87" i="6"/>
  <c r="CN153" i="6"/>
  <c r="CM50" i="6"/>
  <c r="CO50" i="6" s="1"/>
  <c r="BA169" i="6"/>
  <c r="L128" i="6"/>
  <c r="CT65" i="6"/>
  <c r="CL97" i="6"/>
  <c r="N6" i="5"/>
  <c r="J82" i="6"/>
  <c r="J88" i="6" s="1"/>
  <c r="CS149" i="6"/>
  <c r="CT162" i="6"/>
  <c r="CK166" i="6"/>
  <c r="BD22" i="1"/>
  <c r="BB113" i="1"/>
  <c r="BB120" i="1" s="1"/>
  <c r="BY166" i="6"/>
  <c r="BY174" i="6" s="1"/>
  <c r="AZ170" i="6"/>
  <c r="BV230" i="1"/>
  <c r="BV168" i="6"/>
  <c r="X14" i="5"/>
  <c r="X36" i="5" s="1"/>
  <c r="X38" i="5" s="1"/>
  <c r="C25" i="5"/>
  <c r="CB232" i="1"/>
  <c r="CB242" i="1" s="1"/>
  <c r="CL50" i="6"/>
  <c r="CL64" i="6"/>
  <c r="CL30" i="6"/>
  <c r="CL31" i="6" s="1"/>
  <c r="CK158" i="6"/>
  <c r="CT85" i="6"/>
  <c r="CK159" i="6"/>
  <c r="BP205" i="1"/>
  <c r="CT152" i="6"/>
  <c r="CK145" i="6"/>
  <c r="AZ105" i="1"/>
  <c r="BV117" i="1"/>
  <c r="CK161" i="6"/>
  <c r="CT20" i="6"/>
  <c r="AD7" i="5"/>
  <c r="CS91" i="6"/>
  <c r="S93" i="6"/>
  <c r="B24" i="6"/>
  <c r="CT93" i="6"/>
  <c r="AX163" i="6"/>
  <c r="AX164" i="6" s="1"/>
  <c r="AZ166" i="6"/>
  <c r="CB59" i="1"/>
  <c r="BV167" i="6"/>
  <c r="I91" i="6"/>
  <c r="I93" i="6" s="1"/>
  <c r="Q14" i="5"/>
  <c r="J14" i="5"/>
  <c r="BQ100" i="6"/>
  <c r="J99" i="6"/>
  <c r="J97" i="6"/>
  <c r="J98" i="6"/>
  <c r="BQ97" i="6"/>
  <c r="BQ48" i="6"/>
  <c r="BQ53" i="6" s="1"/>
  <c r="BQ98" i="6"/>
  <c r="BQ99" i="6"/>
  <c r="T12" i="6"/>
  <c r="S88" i="6"/>
  <c r="AB6" i="5"/>
  <c r="AB7" i="5"/>
  <c r="CL157" i="6"/>
  <c r="I7" i="5"/>
  <c r="CL168" i="6"/>
  <c r="CS48" i="6"/>
  <c r="CS52" i="6" s="1"/>
  <c r="H93" i="6"/>
  <c r="CS8" i="6"/>
  <c r="CS12" i="6" s="1"/>
  <c r="B13" i="6"/>
  <c r="CL12" i="6"/>
  <c r="CL13" i="6" s="1"/>
  <c r="BY164" i="6"/>
  <c r="B12" i="6"/>
  <c r="M153" i="6"/>
  <c r="BB49" i="6"/>
  <c r="CS84" i="6"/>
  <c r="G6" i="5"/>
  <c r="CM92" i="6"/>
  <c r="CO92" i="6" s="1"/>
  <c r="CT66" i="6"/>
  <c r="CT67" i="6"/>
  <c r="BZ50" i="6"/>
  <c r="BZ53" i="6" s="1"/>
  <c r="BB60" i="1"/>
  <c r="BB25" i="1"/>
  <c r="BB26" i="1" s="1"/>
  <c r="BV166" i="6"/>
  <c r="I69" i="6"/>
  <c r="J132" i="6"/>
  <c r="J143" i="6" s="1"/>
  <c r="AA14" i="5"/>
  <c r="Z7" i="5"/>
  <c r="Z37" i="5" s="1"/>
  <c r="CN87" i="6"/>
  <c r="S52" i="6"/>
  <c r="AZ55" i="1"/>
  <c r="L6" i="5"/>
  <c r="CK86" i="6"/>
  <c r="CM86" i="6" s="1"/>
  <c r="CT70" i="6"/>
  <c r="CK98" i="6"/>
  <c r="CM98" i="6" s="1"/>
  <c r="AD6" i="5"/>
  <c r="AD36" i="5" s="1"/>
  <c r="AD38" i="5" s="1"/>
  <c r="R6" i="5"/>
  <c r="CS152" i="6"/>
  <c r="CS49" i="6"/>
  <c r="CT146" i="6"/>
  <c r="T7" i="5"/>
  <c r="BY48" i="6"/>
  <c r="BY53" i="6" s="1"/>
  <c r="CS82" i="6"/>
  <c r="CN148" i="6"/>
  <c r="CO148" i="6" s="1"/>
  <c r="CL149" i="6"/>
  <c r="CK48" i="6"/>
  <c r="CN48" i="6" s="1"/>
  <c r="CN52" i="6" s="1"/>
  <c r="CL100" i="6"/>
  <c r="CM30" i="6"/>
  <c r="BY170" i="6"/>
  <c r="S174" i="6"/>
  <c r="BB50" i="6"/>
  <c r="AZ136" i="1"/>
  <c r="AZ155" i="1" s="1"/>
  <c r="AZ143" i="6"/>
  <c r="CD57" i="1"/>
  <c r="CD67" i="1" s="1"/>
  <c r="J156" i="6"/>
  <c r="J164" i="6" s="1"/>
  <c r="F24" i="5"/>
  <c r="D2" i="5"/>
  <c r="E2" i="5" s="1"/>
  <c r="F2" i="5" s="1"/>
  <c r="G2" i="5" s="1"/>
  <c r="H2" i="5" s="1"/>
  <c r="I2" i="5" s="1"/>
  <c r="J2" i="5" s="1"/>
  <c r="K2" i="5" s="1"/>
  <c r="L2" i="5" s="1"/>
  <c r="M2" i="5" s="1"/>
  <c r="N2" i="5" s="1"/>
  <c r="O2" i="5" s="1"/>
  <c r="P2" i="5" s="1"/>
  <c r="Q2" i="5" s="1"/>
  <c r="R2" i="5" s="1"/>
  <c r="S2" i="5" s="1"/>
  <c r="T2" i="5" s="1"/>
  <c r="U2" i="5" s="1"/>
  <c r="V2" i="5" s="1"/>
  <c r="W2" i="5" s="1"/>
  <c r="X2" i="5" s="1"/>
  <c r="Y2" i="5" s="1"/>
  <c r="Z2" i="5" s="1"/>
  <c r="AA2" i="5" s="1"/>
  <c r="AB2" i="5" s="1"/>
  <c r="AC2" i="5" s="1"/>
  <c r="AD2" i="5" s="1"/>
  <c r="AG2" i="5" s="1"/>
  <c r="K134" i="9"/>
  <c r="BU100" i="6"/>
  <c r="AG103" i="6"/>
  <c r="J96" i="9" s="1"/>
  <c r="L99" i="6"/>
  <c r="L48" i="6"/>
  <c r="L52" i="6" s="1"/>
  <c r="CM48" i="6"/>
  <c r="CM52" i="6" s="1"/>
  <c r="CA102" i="6"/>
  <c r="F30" i="5"/>
  <c r="AD17" i="5"/>
  <c r="Z17" i="5"/>
  <c r="W25" i="5"/>
  <c r="V25" i="5"/>
  <c r="Q15" i="5"/>
  <c r="O17" i="5"/>
  <c r="G17" i="5"/>
  <c r="K15" i="5"/>
  <c r="AD31" i="5"/>
  <c r="AH31" i="5" s="1"/>
  <c r="BQ112" i="6"/>
  <c r="AM121" i="6"/>
  <c r="AN80" i="6"/>
  <c r="O22" i="5"/>
  <c r="L22" i="5"/>
  <c r="K30" i="5"/>
  <c r="I30" i="5"/>
  <c r="H30" i="5"/>
  <c r="E22" i="5"/>
  <c r="AD25" i="5"/>
  <c r="AB17" i="5"/>
  <c r="AA17" i="5"/>
  <c r="Z15" i="5"/>
  <c r="Y15" i="5"/>
  <c r="X15" i="5"/>
  <c r="T15" i="5"/>
  <c r="S15" i="5"/>
  <c r="O25" i="5"/>
  <c r="N25" i="5"/>
  <c r="L17" i="5"/>
  <c r="L37" i="5" s="1"/>
  <c r="L39" i="5" s="1"/>
  <c r="K17" i="5"/>
  <c r="F17" i="5"/>
  <c r="A96" i="6"/>
  <c r="G120" i="6" s="1"/>
  <c r="G121" i="6" s="1"/>
  <c r="F15" i="5"/>
  <c r="BZ102" i="6"/>
  <c r="C22" i="5"/>
  <c r="AB23" i="5"/>
  <c r="CM162" i="6"/>
  <c r="CO162" i="6" s="1"/>
  <c r="L142" i="6"/>
  <c r="H173" i="6"/>
  <c r="H174" i="6" s="1"/>
  <c r="CT64" i="6"/>
  <c r="CT50" i="6"/>
  <c r="CL82" i="6"/>
  <c r="AX120" i="6"/>
  <c r="AX121" i="6" s="1"/>
  <c r="BN49" i="6"/>
  <c r="H11" i="9"/>
  <c r="H114" i="9"/>
  <c r="K146" i="9"/>
  <c r="G134" i="9"/>
  <c r="H134" i="9"/>
  <c r="H113" i="9"/>
  <c r="H115" i="9"/>
  <c r="BA119" i="1"/>
  <c r="BA120" i="1" s="1"/>
  <c r="BA241" i="1"/>
  <c r="BA157" i="1"/>
  <c r="F70" i="9" s="1"/>
  <c r="I157" i="1"/>
  <c r="I162" i="1" s="1"/>
  <c r="BA251" i="1"/>
  <c r="AO33" i="1"/>
  <c r="CB32" i="1"/>
  <c r="BD108" i="1"/>
  <c r="BC30" i="1"/>
  <c r="BQ35" i="1"/>
  <c r="BQ54" i="1" s="1"/>
  <c r="BV55" i="1"/>
  <c r="CD233" i="1"/>
  <c r="BD90" i="1"/>
  <c r="AZ251" i="1"/>
  <c r="AO272" i="1"/>
  <c r="I232" i="1"/>
  <c r="J232" i="1"/>
  <c r="J242" i="1" s="1"/>
  <c r="J252" i="1" s="1"/>
  <c r="J262" i="1" s="1"/>
  <c r="J272" i="1" s="1"/>
  <c r="I237" i="1"/>
  <c r="CD237" i="1"/>
  <c r="BD232" i="1"/>
  <c r="AZ66" i="1"/>
  <c r="AZ75" i="1" s="1"/>
  <c r="BD220" i="1"/>
  <c r="BD218" i="1"/>
  <c r="BD206" i="1"/>
  <c r="I123" i="1"/>
  <c r="BD59" i="1"/>
  <c r="BD226" i="1"/>
  <c r="I95" i="1"/>
  <c r="I92" i="1"/>
  <c r="BD25" i="1"/>
  <c r="BD221" i="1"/>
  <c r="I236" i="1"/>
  <c r="CB117" i="1"/>
  <c r="CB120" i="1" s="1"/>
  <c r="BP16" i="1"/>
  <c r="BC207" i="1"/>
  <c r="BC214" i="1" s="1"/>
  <c r="BB232" i="1"/>
  <c r="BB220" i="1"/>
  <c r="BQ219" i="1"/>
  <c r="BC218" i="1"/>
  <c r="BC229" i="1" s="1"/>
  <c r="BB254" i="1"/>
  <c r="BD219" i="1"/>
  <c r="BB207" i="1"/>
  <c r="BA89" i="1"/>
  <c r="BS183" i="1"/>
  <c r="BS189" i="1" s="1"/>
  <c r="BU157" i="1"/>
  <c r="BS157" i="1"/>
  <c r="BU183" i="1"/>
  <c r="BD157" i="1"/>
  <c r="J157" i="1"/>
  <c r="J163" i="1" s="1"/>
  <c r="J181" i="1" s="1"/>
  <c r="AI189" i="1"/>
  <c r="E96" i="9" s="1"/>
  <c r="AH189" i="1"/>
  <c r="E94" i="9" s="1"/>
  <c r="E85" i="9" s="1"/>
  <c r="CC188" i="1"/>
  <c r="BB9" i="1"/>
  <c r="BB30" i="1"/>
  <c r="BB32" i="1" s="1"/>
  <c r="BB33" i="1" s="1"/>
  <c r="AH33" i="1"/>
  <c r="AZ96" i="1"/>
  <c r="I88" i="1"/>
  <c r="BD122" i="1"/>
  <c r="BB251" i="1"/>
  <c r="BD211" i="1"/>
  <c r="BD210" i="1"/>
  <c r="I240" i="1"/>
  <c r="BD254" i="1"/>
  <c r="I239" i="1"/>
  <c r="I93" i="1"/>
  <c r="BD60" i="1"/>
  <c r="BD222" i="1"/>
  <c r="I238" i="1"/>
  <c r="BD208" i="1"/>
  <c r="BD213" i="1"/>
  <c r="BD255" i="1"/>
  <c r="BP61" i="1"/>
  <c r="CC58" i="1"/>
  <c r="CC66" i="1" s="1"/>
  <c r="BA220" i="1"/>
  <c r="CB211" i="1"/>
  <c r="BB101" i="1"/>
  <c r="BB105" i="1" s="1"/>
  <c r="BC59" i="1"/>
  <c r="BC89" i="1"/>
  <c r="BC106" i="1" s="1"/>
  <c r="BB117" i="1"/>
  <c r="BB119" i="1" s="1"/>
  <c r="CD207" i="1"/>
  <c r="CD188" i="1"/>
  <c r="BC9" i="1"/>
  <c r="BA183" i="1"/>
  <c r="F74" i="9" s="1"/>
  <c r="BD29" i="1"/>
  <c r="BD33" i="1" s="1"/>
  <c r="J57" i="1"/>
  <c r="J67" i="1" s="1"/>
  <c r="J75" i="1" s="1"/>
  <c r="CB8" i="1"/>
  <c r="CB14" i="1" s="1"/>
  <c r="BA256" i="1"/>
  <c r="BA261" i="1" s="1"/>
  <c r="I90" i="1"/>
  <c r="BD57" i="1"/>
  <c r="I57" i="1"/>
  <c r="I66" i="1" s="1"/>
  <c r="I75" i="1" s="1"/>
  <c r="CB118" i="1"/>
  <c r="I122" i="1"/>
  <c r="I136" i="1" s="1"/>
  <c r="AM118" i="1"/>
  <c r="BD123" i="1"/>
  <c r="BD228" i="1"/>
  <c r="BD205" i="1"/>
  <c r="BD225" i="1"/>
  <c r="I22" i="1"/>
  <c r="I26" i="1" s="1"/>
  <c r="BD233" i="1"/>
  <c r="BD209" i="1"/>
  <c r="I205" i="1"/>
  <c r="I214" i="1" s="1"/>
  <c r="BD36" i="1"/>
  <c r="BD48" i="1" s="1"/>
  <c r="BD55" i="1" s="1"/>
  <c r="I91" i="1"/>
  <c r="BD224" i="1"/>
  <c r="BD89" i="1"/>
  <c r="CB207" i="1"/>
  <c r="AZ241" i="1"/>
  <c r="BX30" i="1"/>
  <c r="BX32" i="1" s="1"/>
  <c r="BP60" i="1"/>
  <c r="BD92" i="1"/>
  <c r="BP261" i="1"/>
  <c r="BP271" i="1" s="1"/>
  <c r="CD210" i="1"/>
  <c r="BD212" i="1"/>
  <c r="F28" i="9"/>
  <c r="G28" i="9" s="1"/>
  <c r="E70" i="9"/>
  <c r="CC136" i="1"/>
  <c r="CD136" i="1"/>
  <c r="CD236" i="1"/>
  <c r="CC137" i="1"/>
  <c r="BA8" i="1"/>
  <c r="CD8" i="1"/>
  <c r="BD8" i="1"/>
  <c r="CC8" i="1"/>
  <c r="CC13" i="1" s="1"/>
  <c r="B14" i="1"/>
  <c r="E27" i="9" s="1"/>
  <c r="AO13" i="1"/>
  <c r="B1" i="1"/>
  <c r="B162" i="1" s="1"/>
  <c r="I9" i="1"/>
  <c r="I8" i="1"/>
  <c r="J8" i="1"/>
  <c r="J13" i="1" s="1"/>
  <c r="J9" i="1"/>
  <c r="BV106" i="1"/>
  <c r="Y97" i="1"/>
  <c r="J183" i="1"/>
  <c r="J189" i="1" s="1"/>
  <c r="I183" i="1"/>
  <c r="I188" i="1" s="1"/>
  <c r="E74" i="9" s="1"/>
  <c r="BS202" i="1"/>
  <c r="AM189" i="1"/>
  <c r="F94" i="9" s="1"/>
  <c r="F96" i="9"/>
  <c r="AI242" i="1"/>
  <c r="BA32" i="1"/>
  <c r="BA33" i="1" s="1"/>
  <c r="G163" i="1"/>
  <c r="BS229" i="1"/>
  <c r="CB251" i="1"/>
  <c r="AO262" i="1"/>
  <c r="BP257" i="1"/>
  <c r="BA271" i="1"/>
  <c r="AZ271" i="1"/>
  <c r="BB261" i="1"/>
  <c r="BB262" i="1" s="1"/>
  <c r="BQ202" i="1"/>
  <c r="BQ154" i="1"/>
  <c r="G155" i="1"/>
  <c r="AO230" i="1"/>
  <c r="BB136" i="1"/>
  <c r="BB155" i="1" s="1"/>
  <c r="G72" i="9"/>
  <c r="Y242" i="1"/>
  <c r="BQ244" i="1"/>
  <c r="AP262" i="1"/>
  <c r="I233" i="1"/>
  <c r="BV75" i="1"/>
  <c r="BB180" i="1"/>
  <c r="BB181" i="1" s="1"/>
  <c r="BC96" i="1"/>
  <c r="BP224" i="1"/>
  <c r="BP180" i="1"/>
  <c r="AP33" i="1"/>
  <c r="F36" i="9"/>
  <c r="H36" i="9" s="1"/>
  <c r="F86" i="9"/>
  <c r="CD189" i="1"/>
  <c r="BX183" i="1"/>
  <c r="BX202" i="1" s="1"/>
  <c r="BQ180" i="1"/>
  <c r="BA180" i="1"/>
  <c r="CD163" i="1"/>
  <c r="BD163" i="1"/>
  <c r="BA9" i="1"/>
  <c r="BD9" i="1"/>
  <c r="BS96" i="1"/>
  <c r="BS97" i="1" s="1"/>
  <c r="BS105" i="1"/>
  <c r="F23" i="9"/>
  <c r="G23" i="9" s="1"/>
  <c r="G27" i="9"/>
  <c r="K14" i="9"/>
  <c r="G15" i="9"/>
  <c r="H104" i="9"/>
  <c r="E37" i="9"/>
  <c r="H14" i="9"/>
  <c r="G14" i="9"/>
  <c r="H15" i="9"/>
  <c r="CL152" i="6"/>
  <c r="CL91" i="6"/>
  <c r="CL93" i="6" s="1"/>
  <c r="CN163" i="6"/>
  <c r="CK65" i="6"/>
  <c r="CS10" i="6"/>
  <c r="L93" i="6"/>
  <c r="CT148" i="6"/>
  <c r="Y52" i="6"/>
  <c r="CL166" i="6"/>
  <c r="CS101" i="6"/>
  <c r="H163" i="6"/>
  <c r="S24" i="6"/>
  <c r="CL160" i="6"/>
  <c r="CT170" i="6"/>
  <c r="H45" i="6"/>
  <c r="CK147" i="6"/>
  <c r="Y24" i="6"/>
  <c r="CK150" i="6"/>
  <c r="CN93" i="6"/>
  <c r="L120" i="6"/>
  <c r="M93" i="6"/>
  <c r="CK85" i="6"/>
  <c r="CS157" i="6"/>
  <c r="CL150" i="6"/>
  <c r="H142" i="6"/>
  <c r="CT151" i="6"/>
  <c r="CT147" i="6"/>
  <c r="CS169" i="6"/>
  <c r="CL151" i="6"/>
  <c r="CL52" i="6"/>
  <c r="CL85" i="6"/>
  <c r="X24" i="6"/>
  <c r="CL69" i="6"/>
  <c r="CT161" i="6"/>
  <c r="CS148" i="6"/>
  <c r="CS30" i="6"/>
  <c r="CS11" i="6"/>
  <c r="B45" i="6"/>
  <c r="CN24" i="6"/>
  <c r="CT51" i="6"/>
  <c r="CK23" i="6"/>
  <c r="M163" i="6"/>
  <c r="CL161" i="6"/>
  <c r="CA45" i="6"/>
  <c r="AA16" i="5"/>
  <c r="W16" i="5"/>
  <c r="S16" i="5"/>
  <c r="Q16" i="5"/>
  <c r="M16" i="5"/>
  <c r="J16" i="5"/>
  <c r="E16" i="5"/>
  <c r="C16" i="5"/>
  <c r="J17" i="5"/>
  <c r="D17" i="5"/>
  <c r="CM84" i="6"/>
  <c r="CO84" i="6" s="1"/>
  <c r="BA70" i="6"/>
  <c r="AD15" i="5"/>
  <c r="AC15" i="5"/>
  <c r="AB15" i="5"/>
  <c r="CM83" i="6"/>
  <c r="CO83" i="6" s="1"/>
  <c r="BU79" i="6"/>
  <c r="AZ102" i="6"/>
  <c r="CS168" i="6"/>
  <c r="CT168" i="6"/>
  <c r="BU173" i="6"/>
  <c r="CT97" i="6"/>
  <c r="CS97" i="6"/>
  <c r="CS100" i="6"/>
  <c r="CT100" i="6"/>
  <c r="B174" i="6"/>
  <c r="CT166" i="6"/>
  <c r="CS166" i="6"/>
  <c r="AN174" i="6"/>
  <c r="BQ108" i="6"/>
  <c r="AA23" i="5"/>
  <c r="P23" i="5"/>
  <c r="AC25" i="5"/>
  <c r="AA15" i="5"/>
  <c r="Y25" i="5"/>
  <c r="W15" i="5"/>
  <c r="U25" i="5"/>
  <c r="U37" i="5" s="1"/>
  <c r="T25" i="5"/>
  <c r="Q25" i="5"/>
  <c r="O15" i="5"/>
  <c r="M15" i="5"/>
  <c r="H15" i="5"/>
  <c r="BZ153" i="6"/>
  <c r="BQ106" i="6"/>
  <c r="AY94" i="6"/>
  <c r="BU96" i="6"/>
  <c r="AB25" i="5"/>
  <c r="X25" i="5"/>
  <c r="S25" i="5"/>
  <c r="R25" i="5"/>
  <c r="AN31" i="6"/>
  <c r="S17" i="5"/>
  <c r="R17" i="5"/>
  <c r="I17" i="5"/>
  <c r="Y36" i="5"/>
  <c r="Y38" i="5" s="1"/>
  <c r="G13" i="9"/>
  <c r="I11" i="9"/>
  <c r="E146" i="9"/>
  <c r="H146" i="9" s="1"/>
  <c r="AH21" i="5"/>
  <c r="AH19" i="5"/>
  <c r="K108" i="9"/>
  <c r="E38" i="9"/>
  <c r="CK173" i="6"/>
  <c r="BQ105" i="1"/>
  <c r="J38" i="9"/>
  <c r="K38" i="9" s="1"/>
  <c r="J61" i="6"/>
  <c r="CD27" i="1"/>
  <c r="CD26" i="1"/>
  <c r="CC26" i="1"/>
  <c r="CC163" i="1"/>
  <c r="AZ52" i="6"/>
  <c r="G74" i="9"/>
  <c r="C252" i="5"/>
  <c r="C247" i="5" s="1"/>
  <c r="CN161" i="6"/>
  <c r="CM161" i="6"/>
  <c r="BC47" i="1"/>
  <c r="BC55" i="1"/>
  <c r="AH26" i="5"/>
  <c r="AZ181" i="1"/>
  <c r="BQ19" i="1"/>
  <c r="CB162" i="1"/>
  <c r="E28" i="9"/>
  <c r="H20" i="1"/>
  <c r="AO241" i="1"/>
  <c r="CD232" i="1"/>
  <c r="CC118" i="1"/>
  <c r="CD118" i="1"/>
  <c r="E250" i="5"/>
  <c r="F250" i="5" s="1"/>
  <c r="G250" i="5" s="1"/>
  <c r="H250" i="5" s="1"/>
  <c r="I250" i="5" s="1"/>
  <c r="J250" i="5" s="1"/>
  <c r="K250" i="5" s="1"/>
  <c r="I96" i="1"/>
  <c r="AH10" i="5"/>
  <c r="BA24" i="6"/>
  <c r="CT169" i="6"/>
  <c r="CA153" i="6"/>
  <c r="AZ202" i="1"/>
  <c r="AZ203" i="1" s="1"/>
  <c r="AY106" i="6"/>
  <c r="AY120" i="6" s="1"/>
  <c r="AZ168" i="6"/>
  <c r="BP57" i="1"/>
  <c r="BA107" i="6"/>
  <c r="BY120" i="6"/>
  <c r="BT60" i="6"/>
  <c r="G70" i="9"/>
  <c r="BS121" i="6"/>
  <c r="CB214" i="1"/>
  <c r="BP88" i="1"/>
  <c r="BP105" i="1" s="1"/>
  <c r="BA106" i="6"/>
  <c r="BA132" i="6"/>
  <c r="BY168" i="6"/>
  <c r="BP223" i="1"/>
  <c r="BO107" i="6"/>
  <c r="BB271" i="1"/>
  <c r="BP227" i="1"/>
  <c r="BA123" i="1"/>
  <c r="BA136" i="1" s="1"/>
  <c r="BA155" i="1" s="1"/>
  <c r="BQ22" i="1"/>
  <c r="BQ32" i="1" s="1"/>
  <c r="AZ107" i="6"/>
  <c r="AZ106" i="6"/>
  <c r="CA103" i="6"/>
  <c r="I230" i="1"/>
  <c r="AH27" i="5"/>
  <c r="AH11" i="5"/>
  <c r="BC123" i="1"/>
  <c r="BP254" i="1"/>
  <c r="AX173" i="6"/>
  <c r="AX174" i="6" s="1"/>
  <c r="BO132" i="6"/>
  <c r="BO142" i="6" s="1"/>
  <c r="BQ248" i="1"/>
  <c r="AY132" i="6"/>
  <c r="AY142" i="6" s="1"/>
  <c r="AY143" i="6" s="1"/>
  <c r="BP256" i="1"/>
  <c r="CD62" i="1"/>
  <c r="CC37" i="1"/>
  <c r="CD47" i="1" s="1"/>
  <c r="BN160" i="6"/>
  <c r="BU163" i="6"/>
  <c r="AF174" i="6"/>
  <c r="AH18" i="5"/>
  <c r="AH28" i="5"/>
  <c r="I19" i="9"/>
  <c r="I21" i="9" s="1"/>
  <c r="L122" i="1"/>
  <c r="AH48" i="5"/>
  <c r="N23" i="5"/>
  <c r="F38" i="9"/>
  <c r="G38" i="9" s="1"/>
  <c r="D22" i="9"/>
  <c r="BD183" i="1"/>
  <c r="BD189" i="1" s="1"/>
  <c r="BD203" i="1" s="1"/>
  <c r="BA57" i="1"/>
  <c r="R22" i="5"/>
  <c r="Q22" i="5"/>
  <c r="J22" i="5"/>
  <c r="D22" i="5"/>
  <c r="Y23" i="5"/>
  <c r="V23" i="5"/>
  <c r="M23" i="5"/>
  <c r="AH49" i="5"/>
  <c r="L97" i="6"/>
  <c r="L132" i="6"/>
  <c r="I53" i="9"/>
  <c r="L109" i="1"/>
  <c r="I25" i="9"/>
  <c r="F69" i="9"/>
  <c r="G69" i="9" s="1"/>
  <c r="F73" i="9"/>
  <c r="G73" i="9" s="1"/>
  <c r="AD71" i="5"/>
  <c r="F129" i="9"/>
  <c r="AH45" i="5"/>
  <c r="D25" i="9"/>
  <c r="D20" i="9"/>
  <c r="D19" i="9"/>
  <c r="D53" i="9"/>
  <c r="G53" i="9" s="1"/>
  <c r="E73" i="9"/>
  <c r="F18" i="9"/>
  <c r="L93" i="1"/>
  <c r="J37" i="9"/>
  <c r="K37" i="9" s="1"/>
  <c r="L239" i="1"/>
  <c r="L90" i="1"/>
  <c r="L91" i="6"/>
  <c r="L82" i="6"/>
  <c r="L57" i="1"/>
  <c r="L232" i="1"/>
  <c r="L254" i="1"/>
  <c r="L236" i="1"/>
  <c r="L240" i="1"/>
  <c r="L235" i="1"/>
  <c r="L67" i="6"/>
  <c r="L148" i="6"/>
  <c r="L98" i="6"/>
  <c r="L156" i="6"/>
  <c r="L151" i="6"/>
  <c r="L68" i="6"/>
  <c r="L95" i="1"/>
  <c r="L94" i="1"/>
  <c r="L9" i="1"/>
  <c r="L91" i="1"/>
  <c r="L237" i="1"/>
  <c r="L234" i="1"/>
  <c r="L208" i="1"/>
  <c r="L92" i="1"/>
  <c r="L150" i="6"/>
  <c r="L8" i="6"/>
  <c r="L152" i="6"/>
  <c r="L207" i="1"/>
  <c r="L183" i="1"/>
  <c r="L238" i="1"/>
  <c r="L233" i="1"/>
  <c r="L209" i="1"/>
  <c r="L88" i="1"/>
  <c r="L22" i="1"/>
  <c r="L96" i="6"/>
  <c r="L69" i="6"/>
  <c r="L149" i="6"/>
  <c r="L147" i="6"/>
  <c r="L255" i="1"/>
  <c r="L123" i="1"/>
  <c r="L205" i="1"/>
  <c r="L8" i="1"/>
  <c r="CM66" i="6" l="1"/>
  <c r="T37" i="5"/>
  <c r="T39" i="5" s="1"/>
  <c r="CN82" i="6"/>
  <c r="CO82" i="6" s="1"/>
  <c r="AA36" i="5"/>
  <c r="AA38" i="5" s="1"/>
  <c r="H60" i="6"/>
  <c r="H61" i="6" s="1"/>
  <c r="AZ272" i="1"/>
  <c r="BB229" i="1"/>
  <c r="CN169" i="6"/>
  <c r="CO169" i="6" s="1"/>
  <c r="E37" i="5"/>
  <c r="E39" i="5" s="1"/>
  <c r="Z36" i="5"/>
  <c r="Z38" i="5" s="1"/>
  <c r="V36" i="5"/>
  <c r="V38" i="5" s="1"/>
  <c r="C37" i="5"/>
  <c r="CM8" i="6"/>
  <c r="CO8" i="6" s="1"/>
  <c r="CO12" i="6" s="1"/>
  <c r="CD14" i="1"/>
  <c r="BB241" i="1"/>
  <c r="BB252" i="1" s="1"/>
  <c r="F36" i="5"/>
  <c r="F38" i="5" s="1"/>
  <c r="H36" i="5"/>
  <c r="H38" i="5" s="1"/>
  <c r="AC36" i="5"/>
  <c r="AC38" i="5" s="1"/>
  <c r="P36" i="5"/>
  <c r="P38" i="5" s="1"/>
  <c r="BP19" i="1"/>
  <c r="CL173" i="6"/>
  <c r="CT154" i="6"/>
  <c r="AY173" i="6"/>
  <c r="AY174" i="6" s="1"/>
  <c r="CN96" i="6"/>
  <c r="CO96" i="6" s="1"/>
  <c r="CM49" i="6"/>
  <c r="CO49" i="6" s="1"/>
  <c r="CT13" i="6"/>
  <c r="CL87" i="6"/>
  <c r="CL88" i="6" s="1"/>
  <c r="S36" i="5"/>
  <c r="S38" i="5" s="1"/>
  <c r="BA214" i="1"/>
  <c r="BA61" i="6"/>
  <c r="CN97" i="6"/>
  <c r="CO97" i="6" s="1"/>
  <c r="CO102" i="6" s="1"/>
  <c r="CT164" i="6"/>
  <c r="D37" i="5"/>
  <c r="D39" i="5" s="1"/>
  <c r="CM157" i="6"/>
  <c r="CO157" i="6" s="1"/>
  <c r="BZ173" i="6"/>
  <c r="BB202" i="1"/>
  <c r="BB203" i="1" s="1"/>
  <c r="J37" i="5"/>
  <c r="J39" i="5" s="1"/>
  <c r="W36" i="5"/>
  <c r="W38" i="5" s="1"/>
  <c r="K37" i="5"/>
  <c r="K39" i="5" s="1"/>
  <c r="BA173" i="6"/>
  <c r="CC241" i="1"/>
  <c r="BP154" i="1"/>
  <c r="BA174" i="6"/>
  <c r="CC242" i="1"/>
  <c r="CD261" i="1" s="1"/>
  <c r="CD241" i="1"/>
  <c r="K28" i="9"/>
  <c r="X37" i="5"/>
  <c r="X39" i="5" s="1"/>
  <c r="BD14" i="1"/>
  <c r="BA262" i="1"/>
  <c r="AH14" i="5"/>
  <c r="G36" i="5"/>
  <c r="G38" i="5" s="1"/>
  <c r="E36" i="5"/>
  <c r="E38" i="5" s="1"/>
  <c r="G37" i="5"/>
  <c r="G39" i="5" s="1"/>
  <c r="AY52" i="6"/>
  <c r="AY61" i="6" s="1"/>
  <c r="CL24" i="6"/>
  <c r="CL25" i="6" s="1"/>
  <c r="CA46" i="6"/>
  <c r="CT173" i="6"/>
  <c r="BZ46" i="6"/>
  <c r="W37" i="5"/>
  <c r="W39" i="5" s="1"/>
  <c r="BZ174" i="6"/>
  <c r="BA13" i="1"/>
  <c r="BA20" i="1" s="1"/>
  <c r="CD229" i="1"/>
  <c r="L36" i="5"/>
  <c r="L38" i="5" s="1"/>
  <c r="BV173" i="6"/>
  <c r="T177" i="6"/>
  <c r="N36" i="5"/>
  <c r="N38" i="5" s="1"/>
  <c r="K36" i="5"/>
  <c r="K38" i="5" s="1"/>
  <c r="F37" i="5"/>
  <c r="F39" i="5" s="1"/>
  <c r="CL163" i="6"/>
  <c r="CL164" i="6" s="1"/>
  <c r="CN160" i="6"/>
  <c r="CO160" i="6" s="1"/>
  <c r="AB36" i="5"/>
  <c r="AB38" i="5" s="1"/>
  <c r="M36" i="5"/>
  <c r="M38" i="5" s="1"/>
  <c r="T36" i="5"/>
  <c r="T38" i="5" s="1"/>
  <c r="CM22" i="6"/>
  <c r="CK24" i="6"/>
  <c r="I37" i="5"/>
  <c r="I39" i="5" s="1"/>
  <c r="CN98" i="6"/>
  <c r="CO98" i="6" s="1"/>
  <c r="CL94" i="6"/>
  <c r="BV272" i="1"/>
  <c r="CD66" i="1"/>
  <c r="AZ106" i="1"/>
  <c r="BA52" i="6"/>
  <c r="CN10" i="6"/>
  <c r="CM10" i="6"/>
  <c r="CO10" i="6" s="1"/>
  <c r="CN170" i="6"/>
  <c r="CO170" i="6" s="1"/>
  <c r="CT31" i="6"/>
  <c r="AY121" i="6"/>
  <c r="AZ61" i="6"/>
  <c r="BD215" i="1"/>
  <c r="BD230" i="1" s="1"/>
  <c r="AD37" i="5"/>
  <c r="AD39" i="5" s="1"/>
  <c r="CT71" i="6"/>
  <c r="R36" i="5"/>
  <c r="R38" i="5" s="1"/>
  <c r="CN21" i="6"/>
  <c r="CO21" i="6" s="1"/>
  <c r="R37" i="5"/>
  <c r="R39" i="5" s="1"/>
  <c r="H37" i="5"/>
  <c r="H39" i="5" s="1"/>
  <c r="AA37" i="5"/>
  <c r="AA39" i="5" s="1"/>
  <c r="CM101" i="6"/>
  <c r="CO101" i="6" s="1"/>
  <c r="BB13" i="1"/>
  <c r="BB20" i="1" s="1"/>
  <c r="BD27" i="1"/>
  <c r="O36" i="5"/>
  <c r="O38" i="5" s="1"/>
  <c r="U36" i="5"/>
  <c r="U38" i="5" s="1"/>
  <c r="J71" i="6"/>
  <c r="BA202" i="1"/>
  <c r="CM168" i="6"/>
  <c r="CN168" i="6"/>
  <c r="CN91" i="6"/>
  <c r="CO91" i="6" s="1"/>
  <c r="CK102" i="6"/>
  <c r="AH24" i="5"/>
  <c r="CK93" i="6"/>
  <c r="P37" i="5"/>
  <c r="P39" i="5" s="1"/>
  <c r="CM33" i="6"/>
  <c r="CN33" i="6"/>
  <c r="T173" i="6"/>
  <c r="CM102" i="6"/>
  <c r="S177" i="6"/>
  <c r="BB272" i="1"/>
  <c r="CN67" i="6"/>
  <c r="CO67" i="6" s="1"/>
  <c r="BC230" i="1"/>
  <c r="CN166" i="6"/>
  <c r="CM166" i="6"/>
  <c r="CN64" i="6"/>
  <c r="CM64" i="6"/>
  <c r="CN151" i="6"/>
  <c r="CM151" i="6"/>
  <c r="CO151" i="6" s="1"/>
  <c r="BC26" i="1"/>
  <c r="AH7" i="5"/>
  <c r="CL70" i="6"/>
  <c r="CL71" i="6" s="1"/>
  <c r="CL53" i="6"/>
  <c r="CN51" i="6"/>
  <c r="CO51" i="6" s="1"/>
  <c r="L173" i="6"/>
  <c r="CN86" i="6"/>
  <c r="CO86" i="6" s="1"/>
  <c r="CD214" i="1"/>
  <c r="CN159" i="6"/>
  <c r="CM159" i="6"/>
  <c r="BZ52" i="6"/>
  <c r="CM145" i="6"/>
  <c r="CN145" i="6"/>
  <c r="CN100" i="6"/>
  <c r="CO100" i="6" s="1"/>
  <c r="M173" i="6"/>
  <c r="CT174" i="6" s="1"/>
  <c r="CA52" i="6"/>
  <c r="AH6" i="5"/>
  <c r="BC75" i="1"/>
  <c r="CM149" i="6"/>
  <c r="CN149" i="6"/>
  <c r="CC215" i="1"/>
  <c r="I96" i="6"/>
  <c r="I102" i="6" s="1"/>
  <c r="I120" i="6" s="1"/>
  <c r="CL102" i="6"/>
  <c r="CN11" i="6"/>
  <c r="CM11" i="6"/>
  <c r="J96" i="6"/>
  <c r="BB53" i="6"/>
  <c r="BB61" i="6" s="1"/>
  <c r="BA164" i="6"/>
  <c r="CN20" i="6"/>
  <c r="CM20" i="6"/>
  <c r="BB71" i="6"/>
  <c r="BB80" i="6" s="1"/>
  <c r="B173" i="6"/>
  <c r="BA163" i="6"/>
  <c r="CT94" i="6"/>
  <c r="BA229" i="1"/>
  <c r="BA230" i="1" s="1"/>
  <c r="BZ13" i="6"/>
  <c r="CA13" i="6"/>
  <c r="CA12" i="6"/>
  <c r="BZ12" i="6"/>
  <c r="N37" i="5"/>
  <c r="CK87" i="6"/>
  <c r="BD97" i="1"/>
  <c r="BD106" i="1" s="1"/>
  <c r="AZ173" i="6"/>
  <c r="AZ174" i="6" s="1"/>
  <c r="G102" i="6"/>
  <c r="CA174" i="6"/>
  <c r="M37" i="5"/>
  <c r="K70" i="5" s="1"/>
  <c r="K71" i="5" s="1"/>
  <c r="M102" i="6"/>
  <c r="BB214" i="1"/>
  <c r="BQ60" i="6"/>
  <c r="BU120" i="6"/>
  <c r="Y37" i="5"/>
  <c r="Y39" i="5" s="1"/>
  <c r="T102" i="6"/>
  <c r="BC33" i="1"/>
  <c r="CN167" i="6"/>
  <c r="CM167" i="6"/>
  <c r="CO167" i="6" s="1"/>
  <c r="CN158" i="6"/>
  <c r="CM158" i="6"/>
  <c r="I36" i="5"/>
  <c r="I38" i="5" s="1"/>
  <c r="AH16" i="5"/>
  <c r="BA162" i="1"/>
  <c r="S173" i="6"/>
  <c r="CL174" i="6" s="1"/>
  <c r="BD114" i="1"/>
  <c r="BD120" i="1" s="1"/>
  <c r="M177" i="6"/>
  <c r="S102" i="6"/>
  <c r="BQ96" i="6"/>
  <c r="BQ103" i="6" s="1"/>
  <c r="J105" i="9" s="1"/>
  <c r="V37" i="5"/>
  <c r="T70" i="5" s="1"/>
  <c r="T71" i="5" s="1"/>
  <c r="D36" i="5"/>
  <c r="D38" i="5" s="1"/>
  <c r="CK163" i="6"/>
  <c r="H102" i="6"/>
  <c r="J68" i="9" s="1"/>
  <c r="I13" i="1"/>
  <c r="CN69" i="6"/>
  <c r="CM69" i="6"/>
  <c r="Q37" i="5"/>
  <c r="Q39" i="5" s="1"/>
  <c r="AH15" i="5"/>
  <c r="O37" i="5"/>
  <c r="N70" i="5" s="1"/>
  <c r="N71" i="5" s="1"/>
  <c r="E87" i="9"/>
  <c r="H96" i="9"/>
  <c r="K96" i="9" s="1"/>
  <c r="J73" i="9"/>
  <c r="K73" i="9" s="1"/>
  <c r="AI35" i="5"/>
  <c r="J112" i="9" s="1"/>
  <c r="AJ53" i="5"/>
  <c r="AI53" i="5"/>
  <c r="J109" i="9" s="1"/>
  <c r="AI62" i="5"/>
  <c r="AI63" i="5"/>
  <c r="F29" i="9"/>
  <c r="G29" i="9" s="1"/>
  <c r="E54" i="9"/>
  <c r="I156" i="9"/>
  <c r="C76" i="5"/>
  <c r="C39" i="5"/>
  <c r="J87" i="9"/>
  <c r="C47" i="5"/>
  <c r="C57" i="5" s="1"/>
  <c r="C59" i="5" s="1"/>
  <c r="G47" i="5"/>
  <c r="G57" i="5" s="1"/>
  <c r="G59" i="5" s="1"/>
  <c r="K47" i="5"/>
  <c r="K57" i="5" s="1"/>
  <c r="K59" i="5" s="1"/>
  <c r="O47" i="5"/>
  <c r="O57" i="5" s="1"/>
  <c r="O59" i="5" s="1"/>
  <c r="S47" i="5"/>
  <c r="S57" i="5" s="1"/>
  <c r="S59" i="5" s="1"/>
  <c r="W47" i="5"/>
  <c r="W57" i="5" s="1"/>
  <c r="W59" i="5" s="1"/>
  <c r="AA47" i="5"/>
  <c r="AA57" i="5" s="1"/>
  <c r="AA59" i="5" s="1"/>
  <c r="H46" i="5"/>
  <c r="H56" i="5" s="1"/>
  <c r="H58" i="5" s="1"/>
  <c r="J46" i="5"/>
  <c r="J56" i="5" s="1"/>
  <c r="J58" i="5" s="1"/>
  <c r="L46" i="5"/>
  <c r="L56" i="5" s="1"/>
  <c r="L58" i="5" s="1"/>
  <c r="V46" i="5"/>
  <c r="V56" i="5" s="1"/>
  <c r="V58" i="5" s="1"/>
  <c r="Y46" i="5"/>
  <c r="Y56" i="5" s="1"/>
  <c r="Y58" i="5" s="1"/>
  <c r="AB46" i="5"/>
  <c r="AB56" i="5" s="1"/>
  <c r="AB58" i="5" s="1"/>
  <c r="D47" i="5"/>
  <c r="D57" i="5" s="1"/>
  <c r="D59" i="5" s="1"/>
  <c r="H47" i="5"/>
  <c r="H57" i="5" s="1"/>
  <c r="H59" i="5" s="1"/>
  <c r="L47" i="5"/>
  <c r="L57" i="5" s="1"/>
  <c r="L59" i="5" s="1"/>
  <c r="P47" i="5"/>
  <c r="P57" i="5" s="1"/>
  <c r="P59" i="5" s="1"/>
  <c r="T47" i="5"/>
  <c r="T57" i="5" s="1"/>
  <c r="T59" i="5" s="1"/>
  <c r="X47" i="5"/>
  <c r="X57" i="5" s="1"/>
  <c r="X59" i="5" s="1"/>
  <c r="AB47" i="5"/>
  <c r="AB57" i="5" s="1"/>
  <c r="AB59" i="5" s="1"/>
  <c r="D46" i="5"/>
  <c r="D56" i="5" s="1"/>
  <c r="D58" i="5" s="1"/>
  <c r="F46" i="5"/>
  <c r="F56" i="5" s="1"/>
  <c r="F58" i="5" s="1"/>
  <c r="I46" i="5"/>
  <c r="I56" i="5" s="1"/>
  <c r="I58" i="5" s="1"/>
  <c r="O46" i="5"/>
  <c r="O56" i="5" s="1"/>
  <c r="O58" i="5" s="1"/>
  <c r="Q46" i="5"/>
  <c r="Q56" i="5" s="1"/>
  <c r="Q58" i="5" s="1"/>
  <c r="S46" i="5"/>
  <c r="S56" i="5" s="1"/>
  <c r="S58" i="5" s="1"/>
  <c r="Z46" i="5"/>
  <c r="Z56" i="5" s="1"/>
  <c r="Z58" i="5" s="1"/>
  <c r="AC46" i="5"/>
  <c r="AC56" i="5" s="1"/>
  <c r="AC58" i="5" s="1"/>
  <c r="E47" i="5"/>
  <c r="E57" i="5" s="1"/>
  <c r="E59" i="5" s="1"/>
  <c r="I47" i="5"/>
  <c r="I57" i="5" s="1"/>
  <c r="I59" i="5" s="1"/>
  <c r="M47" i="5"/>
  <c r="M57" i="5" s="1"/>
  <c r="M59" i="5" s="1"/>
  <c r="Q47" i="5"/>
  <c r="Q57" i="5" s="1"/>
  <c r="Q59" i="5" s="1"/>
  <c r="U47" i="5"/>
  <c r="U57" i="5" s="1"/>
  <c r="U59" i="5" s="1"/>
  <c r="Y47" i="5"/>
  <c r="Y57" i="5" s="1"/>
  <c r="Y59" i="5" s="1"/>
  <c r="AC47" i="5"/>
  <c r="AC57" i="5" s="1"/>
  <c r="AC59" i="5" s="1"/>
  <c r="C46" i="5"/>
  <c r="G46" i="5"/>
  <c r="G56" i="5" s="1"/>
  <c r="G58" i="5" s="1"/>
  <c r="K46" i="5"/>
  <c r="K56" i="5" s="1"/>
  <c r="K58" i="5" s="1"/>
  <c r="M46" i="5"/>
  <c r="M56" i="5" s="1"/>
  <c r="M58" i="5" s="1"/>
  <c r="P46" i="5"/>
  <c r="P56" i="5" s="1"/>
  <c r="P58" i="5" s="1"/>
  <c r="T46" i="5"/>
  <c r="T56" i="5" s="1"/>
  <c r="T58" i="5" s="1"/>
  <c r="W46" i="5"/>
  <c r="W56" i="5" s="1"/>
  <c r="W58" i="5" s="1"/>
  <c r="AD46" i="5"/>
  <c r="AD56" i="5" s="1"/>
  <c r="AD58" i="5" s="1"/>
  <c r="F47" i="5"/>
  <c r="F57" i="5" s="1"/>
  <c r="F59" i="5" s="1"/>
  <c r="J47" i="5"/>
  <c r="J57" i="5" s="1"/>
  <c r="J59" i="5" s="1"/>
  <c r="N47" i="5"/>
  <c r="N57" i="5" s="1"/>
  <c r="N59" i="5" s="1"/>
  <c r="R47" i="5"/>
  <c r="R57" i="5" s="1"/>
  <c r="R59" i="5" s="1"/>
  <c r="V47" i="5"/>
  <c r="V57" i="5" s="1"/>
  <c r="V59" i="5" s="1"/>
  <c r="Z47" i="5"/>
  <c r="Z57" i="5" s="1"/>
  <c r="Z59" i="5" s="1"/>
  <c r="AD47" i="5"/>
  <c r="AD57" i="5" s="1"/>
  <c r="AD59" i="5" s="1"/>
  <c r="E46" i="5"/>
  <c r="E56" i="5" s="1"/>
  <c r="E58" i="5" s="1"/>
  <c r="N46" i="5"/>
  <c r="N56" i="5" s="1"/>
  <c r="N58" i="5" s="1"/>
  <c r="R46" i="5"/>
  <c r="R56" i="5" s="1"/>
  <c r="R58" i="5" s="1"/>
  <c r="U46" i="5"/>
  <c r="U56" i="5" s="1"/>
  <c r="U58" i="5" s="1"/>
  <c r="X46" i="5"/>
  <c r="X56" i="5" s="1"/>
  <c r="X58" i="5" s="1"/>
  <c r="AA46" i="5"/>
  <c r="AA56" i="5" s="1"/>
  <c r="AA58" i="5" s="1"/>
  <c r="CO48" i="6"/>
  <c r="CO52" i="6" s="1"/>
  <c r="H103" i="6"/>
  <c r="B121" i="6"/>
  <c r="H120" i="6"/>
  <c r="AH30" i="5"/>
  <c r="AB37" i="5"/>
  <c r="AB39" i="5" s="1"/>
  <c r="CS173" i="6"/>
  <c r="AH25" i="5"/>
  <c r="B120" i="6"/>
  <c r="B102" i="6"/>
  <c r="J67" i="9" s="1"/>
  <c r="K67" i="9" s="1"/>
  <c r="K104" i="9"/>
  <c r="AC37" i="5"/>
  <c r="AC39" i="5" s="1"/>
  <c r="CS96" i="6"/>
  <c r="CS102" i="6" s="1"/>
  <c r="CT96" i="6"/>
  <c r="CT102" i="6" s="1"/>
  <c r="J103" i="6"/>
  <c r="CL153" i="6"/>
  <c r="CL154" i="6" s="1"/>
  <c r="CM12" i="6"/>
  <c r="M176" i="6"/>
  <c r="M178" i="6" s="1"/>
  <c r="K15" i="9"/>
  <c r="F37" i="9"/>
  <c r="G37" i="9" s="1"/>
  <c r="J24" i="9"/>
  <c r="K24" i="9" s="1"/>
  <c r="K111" i="9"/>
  <c r="BS163" i="1"/>
  <c r="E105" i="9" s="1"/>
  <c r="BS180" i="1"/>
  <c r="BS181" i="1" s="1"/>
  <c r="BU189" i="1"/>
  <c r="BU202" i="1"/>
  <c r="BA96" i="1"/>
  <c r="BA106" i="1" s="1"/>
  <c r="BA188" i="1"/>
  <c r="BC66" i="1"/>
  <c r="BB106" i="1"/>
  <c r="BA272" i="1"/>
  <c r="J14" i="1"/>
  <c r="BD67" i="1"/>
  <c r="BD75" i="1" s="1"/>
  <c r="BD137" i="1"/>
  <c r="BD155" i="1" s="1"/>
  <c r="AZ252" i="1"/>
  <c r="BA252" i="1"/>
  <c r="L188" i="1"/>
  <c r="BC32" i="1"/>
  <c r="CC67" i="1"/>
  <c r="BD242" i="1"/>
  <c r="BD252" i="1" s="1"/>
  <c r="BD262" i="1" s="1"/>
  <c r="BD272" i="1" s="1"/>
  <c r="BC20" i="1"/>
  <c r="BC13" i="1"/>
  <c r="BU163" i="1"/>
  <c r="BV181" i="1" s="1"/>
  <c r="BU180" i="1"/>
  <c r="BU181" i="1" s="1"/>
  <c r="H251" i="1"/>
  <c r="H252" i="1" s="1"/>
  <c r="F52" i="9"/>
  <c r="G52" i="9" s="1"/>
  <c r="I241" i="1"/>
  <c r="I252" i="1" s="1"/>
  <c r="F85" i="9"/>
  <c r="F30" i="9"/>
  <c r="G30" i="9" s="1"/>
  <c r="H84" i="1"/>
  <c r="H47" i="1"/>
  <c r="L54" i="1"/>
  <c r="L113" i="1"/>
  <c r="H180" i="1"/>
  <c r="H181" i="1" s="1"/>
  <c r="Z66" i="1"/>
  <c r="L96" i="1"/>
  <c r="G214" i="1"/>
  <c r="H54" i="1"/>
  <c r="H55" i="1" s="1"/>
  <c r="L19" i="1"/>
  <c r="U26" i="1"/>
  <c r="G66" i="1"/>
  <c r="G74" i="1" s="1"/>
  <c r="G75" i="1" s="1"/>
  <c r="T66" i="1"/>
  <c r="B96" i="1"/>
  <c r="B229" i="1"/>
  <c r="H136" i="1"/>
  <c r="B19" i="1"/>
  <c r="B188" i="1"/>
  <c r="H32" i="1"/>
  <c r="H79" i="1"/>
  <c r="G241" i="1"/>
  <c r="L32" i="1"/>
  <c r="G119" i="1"/>
  <c r="H66" i="1"/>
  <c r="H74" i="1" s="1"/>
  <c r="H75" i="1" s="1"/>
  <c r="B32" i="1"/>
  <c r="B136" i="1"/>
  <c r="H119" i="1"/>
  <c r="T26" i="1"/>
  <c r="B54" i="1"/>
  <c r="H188" i="1"/>
  <c r="B79" i="1"/>
  <c r="H96" i="1"/>
  <c r="H13" i="1"/>
  <c r="G136" i="1"/>
  <c r="B113" i="1"/>
  <c r="B13" i="1"/>
  <c r="H271" i="1"/>
  <c r="H214" i="1"/>
  <c r="L229" i="1"/>
  <c r="Y26" i="1"/>
  <c r="H229" i="1"/>
  <c r="H230" i="1" s="1"/>
  <c r="G180" i="1"/>
  <c r="G181" i="1" s="1"/>
  <c r="G105" i="1"/>
  <c r="L271" i="1"/>
  <c r="B105" i="1"/>
  <c r="H154" i="1"/>
  <c r="Y66" i="1"/>
  <c r="H26" i="1"/>
  <c r="G162" i="1"/>
  <c r="G154" i="1"/>
  <c r="Z26" i="1"/>
  <c r="B84" i="1"/>
  <c r="G188" i="1"/>
  <c r="H105" i="1"/>
  <c r="B47" i="1"/>
  <c r="L74" i="1"/>
  <c r="H113" i="1"/>
  <c r="B202" i="1"/>
  <c r="L214" i="1"/>
  <c r="H261" i="1"/>
  <c r="H262" i="1" s="1"/>
  <c r="L202" i="1"/>
  <c r="H241" i="1"/>
  <c r="I47" i="1"/>
  <c r="B241" i="1"/>
  <c r="B271" i="1"/>
  <c r="L66" i="1"/>
  <c r="L26" i="1"/>
  <c r="H202" i="1"/>
  <c r="L84" i="1"/>
  <c r="U66" i="1"/>
  <c r="L136" i="1"/>
  <c r="B154" i="1"/>
  <c r="B119" i="1"/>
  <c r="H162" i="1"/>
  <c r="B251" i="1"/>
  <c r="L79" i="1"/>
  <c r="L261" i="1"/>
  <c r="G202" i="1"/>
  <c r="B26" i="1"/>
  <c r="B180" i="1"/>
  <c r="B66" i="1"/>
  <c r="L47" i="1"/>
  <c r="B214" i="1"/>
  <c r="CD13" i="1"/>
  <c r="CC14" i="1"/>
  <c r="G36" i="9"/>
  <c r="BA181" i="1"/>
  <c r="H103" i="9"/>
  <c r="E29" i="9"/>
  <c r="F24" i="9"/>
  <c r="G24" i="9" s="1"/>
  <c r="H73" i="9"/>
  <c r="F51" i="9"/>
  <c r="G51" i="9" s="1"/>
  <c r="CC120" i="1"/>
  <c r="F87" i="9"/>
  <c r="CD48" i="1"/>
  <c r="H72" i="9"/>
  <c r="AO20" i="1"/>
  <c r="CB13" i="1"/>
  <c r="J114" i="9"/>
  <c r="K114" i="9" s="1"/>
  <c r="J132" i="9"/>
  <c r="K132" i="9" s="1"/>
  <c r="D18" i="9"/>
  <c r="G18" i="9" s="1"/>
  <c r="H38" i="9"/>
  <c r="G129" i="9"/>
  <c r="H129" i="9"/>
  <c r="E18" i="9"/>
  <c r="H13" i="9"/>
  <c r="H70" i="9"/>
  <c r="H28" i="9"/>
  <c r="H74" i="9"/>
  <c r="H27" i="9"/>
  <c r="H94" i="9"/>
  <c r="K94" i="9" s="1"/>
  <c r="H86" i="9"/>
  <c r="CN65" i="6"/>
  <c r="CK70" i="6"/>
  <c r="CM65" i="6"/>
  <c r="CN85" i="6"/>
  <c r="CM85" i="6"/>
  <c r="CN150" i="6"/>
  <c r="CM150" i="6"/>
  <c r="CO66" i="6"/>
  <c r="CN23" i="6"/>
  <c r="CM23" i="6"/>
  <c r="CK52" i="6"/>
  <c r="CN147" i="6"/>
  <c r="CK153" i="6"/>
  <c r="CM147" i="6"/>
  <c r="C70" i="5"/>
  <c r="C71" i="5" s="1"/>
  <c r="AH17" i="5"/>
  <c r="I70" i="5"/>
  <c r="I71" i="5" s="1"/>
  <c r="Y70" i="5"/>
  <c r="Y71" i="5" s="1"/>
  <c r="Z39" i="5"/>
  <c r="U39" i="5"/>
  <c r="S70" i="5"/>
  <c r="S71" i="5" s="1"/>
  <c r="O70" i="5"/>
  <c r="O71" i="5" s="1"/>
  <c r="AZ120" i="6"/>
  <c r="AZ121" i="6" s="1"/>
  <c r="S37" i="5"/>
  <c r="Q36" i="5"/>
  <c r="Q38" i="5" s="1"/>
  <c r="J36" i="5"/>
  <c r="J38" i="5" s="1"/>
  <c r="I13" i="9"/>
  <c r="K13" i="9" s="1"/>
  <c r="J23" i="9"/>
  <c r="K23" i="9" s="1"/>
  <c r="AH23" i="5"/>
  <c r="W70" i="5"/>
  <c r="W71" i="5" s="1"/>
  <c r="CD120" i="1"/>
  <c r="CC119" i="1"/>
  <c r="D252" i="5"/>
  <c r="D65" i="5"/>
  <c r="AH22" i="5"/>
  <c r="CO22" i="6"/>
  <c r="BA66" i="1"/>
  <c r="BA75" i="1" s="1"/>
  <c r="CC47" i="1"/>
  <c r="CC48" i="1"/>
  <c r="BA120" i="6"/>
  <c r="BA121" i="6"/>
  <c r="CB241" i="1"/>
  <c r="AO252" i="1"/>
  <c r="J30" i="9"/>
  <c r="J18" i="6"/>
  <c r="BC155" i="1"/>
  <c r="BC136" i="1"/>
  <c r="BA142" i="6"/>
  <c r="BA143" i="6"/>
  <c r="CC162" i="1"/>
  <c r="CD162" i="1"/>
  <c r="CD119" i="1"/>
  <c r="CO161" i="6"/>
  <c r="G279" i="5"/>
  <c r="L250" i="5"/>
  <c r="D21" i="9"/>
  <c r="K129" i="9"/>
  <c r="L13" i="1"/>
  <c r="L241" i="1"/>
  <c r="L180" i="1"/>
  <c r="L102" i="6"/>
  <c r="L12" i="6"/>
  <c r="L177" i="6" s="1"/>
  <c r="L162" i="1"/>
  <c r="L251" i="1"/>
  <c r="O39" i="5" l="1"/>
  <c r="M70" i="5"/>
  <c r="M71" i="5" s="1"/>
  <c r="G70" i="5"/>
  <c r="G71" i="5" s="1"/>
  <c r="CN173" i="6"/>
  <c r="CO20" i="6"/>
  <c r="CO64" i="6"/>
  <c r="BB230" i="1"/>
  <c r="V70" i="5"/>
  <c r="V71" i="5" s="1"/>
  <c r="X70" i="5"/>
  <c r="X71" i="5" s="1"/>
  <c r="E70" i="5"/>
  <c r="E71" i="5" s="1"/>
  <c r="BA203" i="1"/>
  <c r="J70" i="5"/>
  <c r="J71" i="5" s="1"/>
  <c r="T176" i="6"/>
  <c r="T178" i="6" s="1"/>
  <c r="CO168" i="6"/>
  <c r="CO158" i="6"/>
  <c r="CO11" i="6"/>
  <c r="CO159" i="6"/>
  <c r="F70" i="5"/>
  <c r="F71" i="5" s="1"/>
  <c r="D70" i="5"/>
  <c r="D71" i="5" s="1"/>
  <c r="CN102" i="6"/>
  <c r="H272" i="1"/>
  <c r="H70" i="5"/>
  <c r="H71" i="5" s="1"/>
  <c r="Q70" i="5"/>
  <c r="Q71" i="5" s="1"/>
  <c r="CO65" i="6"/>
  <c r="CT103" i="6"/>
  <c r="CO145" i="6"/>
  <c r="CO166" i="6"/>
  <c r="CO173" i="6" s="1"/>
  <c r="P70" i="5"/>
  <c r="P71" i="5" s="1"/>
  <c r="U70" i="5"/>
  <c r="U71" i="5" s="1"/>
  <c r="V39" i="5"/>
  <c r="J18" i="9"/>
  <c r="CO149" i="6"/>
  <c r="BQ120" i="6"/>
  <c r="CO33" i="6"/>
  <c r="L176" i="6"/>
  <c r="L178" i="6" s="1"/>
  <c r="N39" i="5"/>
  <c r="CM173" i="6"/>
  <c r="CO69" i="6"/>
  <c r="H29" i="9"/>
  <c r="H37" i="9"/>
  <c r="W76" i="5"/>
  <c r="T76" i="5"/>
  <c r="S76" i="5"/>
  <c r="R76" i="5"/>
  <c r="Y76" i="5"/>
  <c r="V76" i="5"/>
  <c r="AC76" i="5"/>
  <c r="AA76" i="5"/>
  <c r="H76" i="5"/>
  <c r="N76" i="5"/>
  <c r="AB76" i="5"/>
  <c r="Z76" i="5"/>
  <c r="I76" i="5"/>
  <c r="P76" i="5"/>
  <c r="L76" i="5"/>
  <c r="E76" i="5"/>
  <c r="O76" i="5"/>
  <c r="Q76" i="5"/>
  <c r="J76" i="5"/>
  <c r="X76" i="5"/>
  <c r="D76" i="5"/>
  <c r="U76" i="5"/>
  <c r="K76" i="5"/>
  <c r="F76" i="5"/>
  <c r="M76" i="5"/>
  <c r="G76" i="5"/>
  <c r="AD76" i="5"/>
  <c r="BV203" i="1"/>
  <c r="F105" i="9"/>
  <c r="AH47" i="5"/>
  <c r="C56" i="5"/>
  <c r="AH46" i="5"/>
  <c r="H121" i="6"/>
  <c r="Z70" i="5"/>
  <c r="Z71" i="5" s="1"/>
  <c r="S176" i="6"/>
  <c r="S178" i="6" s="1"/>
  <c r="J51" i="9"/>
  <c r="K51" i="9" s="1"/>
  <c r="CL103" i="6"/>
  <c r="J121" i="6"/>
  <c r="AB71" i="5"/>
  <c r="AA70" i="5"/>
  <c r="AA71" i="5" s="1"/>
  <c r="CO23" i="6"/>
  <c r="CO150" i="6"/>
  <c r="J70" i="9"/>
  <c r="J54" i="9" s="1"/>
  <c r="K54" i="9" s="1"/>
  <c r="H18" i="9"/>
  <c r="J85" i="9"/>
  <c r="E30" i="9"/>
  <c r="H30" i="9" s="1"/>
  <c r="J20" i="1"/>
  <c r="F26" i="9"/>
  <c r="G26" i="9" s="1"/>
  <c r="H85" i="1"/>
  <c r="E67" i="9"/>
  <c r="H67" i="9" s="1"/>
  <c r="H71" i="9"/>
  <c r="F20" i="9"/>
  <c r="F154" i="9" s="1"/>
  <c r="F160" i="9" s="1"/>
  <c r="F25" i="9"/>
  <c r="G25" i="9" s="1"/>
  <c r="F19" i="9"/>
  <c r="G19" i="9" s="1"/>
  <c r="F53" i="9"/>
  <c r="H85" i="9"/>
  <c r="I18" i="9"/>
  <c r="H87" i="9"/>
  <c r="CO147" i="6"/>
  <c r="CO85" i="6"/>
  <c r="R70" i="5"/>
  <c r="R71" i="5" s="1"/>
  <c r="AH37" i="5"/>
  <c r="K68" i="9"/>
  <c r="J52" i="9"/>
  <c r="J69" i="9"/>
  <c r="K69" i="9" s="1"/>
  <c r="S39" i="5"/>
  <c r="K87" i="9"/>
  <c r="K86" i="9"/>
  <c r="K70" i="9"/>
  <c r="J26" i="9"/>
  <c r="K26" i="9" s="1"/>
  <c r="K30" i="9"/>
  <c r="J25" i="9"/>
  <c r="K25" i="9" s="1"/>
  <c r="L70" i="5"/>
  <c r="L71" i="5" s="1"/>
  <c r="M39" i="5"/>
  <c r="J115" i="9"/>
  <c r="K115" i="9" s="1"/>
  <c r="D247" i="5"/>
  <c r="E252" i="5"/>
  <c r="E65" i="5"/>
  <c r="F54" i="9"/>
  <c r="G54" i="9" s="1"/>
  <c r="H279" i="5"/>
  <c r="M250" i="5"/>
  <c r="K18" i="9" l="1"/>
  <c r="F130" i="9"/>
  <c r="G130" i="9" s="1"/>
  <c r="J19" i="9"/>
  <c r="K19" i="9" s="1"/>
  <c r="G20" i="9"/>
  <c r="E51" i="9"/>
  <c r="H51" i="9" s="1"/>
  <c r="AH76" i="5"/>
  <c r="E52" i="9"/>
  <c r="H105" i="9"/>
  <c r="AH57" i="5"/>
  <c r="C58" i="5"/>
  <c r="AH56" i="5"/>
  <c r="J86" i="9"/>
  <c r="AH71" i="5"/>
  <c r="E26" i="9"/>
  <c r="H26" i="9" s="1"/>
  <c r="E24" i="9"/>
  <c r="E23" i="9"/>
  <c r="H68" i="9"/>
  <c r="E69" i="9"/>
  <c r="H69" i="9" s="1"/>
  <c r="F21" i="9"/>
  <c r="G21" i="9" s="1"/>
  <c r="AH39" i="5"/>
  <c r="G154" i="9"/>
  <c r="H54" i="9"/>
  <c r="K52" i="9"/>
  <c r="J53" i="9"/>
  <c r="K53" i="9" s="1"/>
  <c r="J20" i="9"/>
  <c r="K85" i="9"/>
  <c r="AH70" i="5"/>
  <c r="F65" i="5"/>
  <c r="F22" i="9"/>
  <c r="F155" i="9" s="1"/>
  <c r="F161" i="9" s="1"/>
  <c r="E247" i="5"/>
  <c r="F252" i="5"/>
  <c r="J22" i="9"/>
  <c r="K22" i="9" s="1"/>
  <c r="I279" i="5"/>
  <c r="N250" i="5"/>
  <c r="J11" i="9" l="1"/>
  <c r="F156" i="9"/>
  <c r="G156" i="9" s="1"/>
  <c r="E22" i="9"/>
  <c r="E155" i="9" s="1"/>
  <c r="C150" i="5"/>
  <c r="D150" i="5" s="1"/>
  <c r="E150" i="5" s="1"/>
  <c r="F150" i="5" s="1"/>
  <c r="G150" i="5" s="1"/>
  <c r="H150" i="5" s="1"/>
  <c r="I150" i="5" s="1"/>
  <c r="J150" i="5" s="1"/>
  <c r="K150" i="5" s="1"/>
  <c r="L150" i="5" s="1"/>
  <c r="M150" i="5" s="1"/>
  <c r="N150" i="5" s="1"/>
  <c r="O150" i="5" s="1"/>
  <c r="P150" i="5" s="1"/>
  <c r="Q150" i="5" s="1"/>
  <c r="R150" i="5" s="1"/>
  <c r="S150" i="5" s="1"/>
  <c r="T150" i="5" s="1"/>
  <c r="U150" i="5" s="1"/>
  <c r="V150" i="5" s="1"/>
  <c r="W150" i="5" s="1"/>
  <c r="X150" i="5" s="1"/>
  <c r="Y150" i="5" s="1"/>
  <c r="Z150" i="5" s="1"/>
  <c r="AA150" i="5" s="1"/>
  <c r="AB150" i="5" s="1"/>
  <c r="AC150" i="5" s="1"/>
  <c r="AD150" i="5" s="1"/>
  <c r="AE150" i="5" s="1"/>
  <c r="AF150" i="5" s="1"/>
  <c r="C147" i="5"/>
  <c r="AH59" i="5"/>
  <c r="AH58" i="5"/>
  <c r="G22" i="9"/>
  <c r="G155" i="9"/>
  <c r="H23" i="9"/>
  <c r="E19" i="9"/>
  <c r="H19" i="9" s="1"/>
  <c r="H52" i="9"/>
  <c r="E53" i="9"/>
  <c r="H53" i="9" s="1"/>
  <c r="H24" i="9"/>
  <c r="E20" i="9"/>
  <c r="E154" i="9" s="1"/>
  <c r="E130" i="9" s="1"/>
  <c r="E25" i="9"/>
  <c r="H25" i="9" s="1"/>
  <c r="K20" i="9"/>
  <c r="J21" i="9"/>
  <c r="K21" i="9" s="1"/>
  <c r="J152" i="9"/>
  <c r="G65" i="5"/>
  <c r="G252" i="5"/>
  <c r="F247" i="5"/>
  <c r="J279" i="5"/>
  <c r="O250" i="5"/>
  <c r="B79" i="5" l="1"/>
  <c r="C77" i="5" s="1"/>
  <c r="D77" i="5" s="1"/>
  <c r="E77" i="5" s="1"/>
  <c r="F77" i="5" s="1"/>
  <c r="G77" i="5" s="1"/>
  <c r="J154" i="9"/>
  <c r="K152" i="9"/>
  <c r="J155" i="9"/>
  <c r="AI77" i="5" s="1"/>
  <c r="K11" i="9"/>
  <c r="J130" i="9"/>
  <c r="K130" i="9" s="1"/>
  <c r="H22" i="9"/>
  <c r="C138" i="5"/>
  <c r="D147" i="5"/>
  <c r="H20" i="9"/>
  <c r="E21" i="9"/>
  <c r="H21" i="9" s="1"/>
  <c r="H155" i="9"/>
  <c r="H252" i="5"/>
  <c r="G247" i="5"/>
  <c r="F157" i="9"/>
  <c r="G157" i="9" s="1"/>
  <c r="H65" i="5"/>
  <c r="K279" i="5"/>
  <c r="E157" i="9"/>
  <c r="P250" i="5"/>
  <c r="H77" i="5" l="1"/>
  <c r="J156" i="9"/>
  <c r="K156" i="9" s="1"/>
  <c r="AJ77" i="5"/>
  <c r="K154" i="9"/>
  <c r="D78" i="5"/>
  <c r="K155" i="9"/>
  <c r="E147" i="5"/>
  <c r="D138" i="5"/>
  <c r="C78" i="5"/>
  <c r="H154" i="9"/>
  <c r="E156" i="9"/>
  <c r="H156" i="9" s="1"/>
  <c r="H130" i="9"/>
  <c r="H157" i="9"/>
  <c r="J157" i="9"/>
  <c r="K157" i="9" s="1"/>
  <c r="H247" i="5"/>
  <c r="I252" i="5"/>
  <c r="I65" i="5"/>
  <c r="L279" i="5"/>
  <c r="Q250" i="5"/>
  <c r="I77" i="5" l="1"/>
  <c r="E138" i="5"/>
  <c r="F147" i="5"/>
  <c r="J65" i="5"/>
  <c r="I247" i="5"/>
  <c r="J252" i="5"/>
  <c r="M279" i="5"/>
  <c r="R250" i="5"/>
  <c r="J77" i="5" l="1"/>
  <c r="F138" i="5"/>
  <c r="G147" i="5"/>
  <c r="E78" i="5"/>
  <c r="K65" i="5"/>
  <c r="J247" i="5"/>
  <c r="K252" i="5"/>
  <c r="N279" i="5"/>
  <c r="S250" i="5"/>
  <c r="K77" i="5" l="1"/>
  <c r="G138" i="5"/>
  <c r="H147" i="5"/>
  <c r="F78" i="5"/>
  <c r="K247" i="5"/>
  <c r="L252" i="5"/>
  <c r="L65" i="5"/>
  <c r="O279" i="5"/>
  <c r="T250" i="5"/>
  <c r="L77" i="5" l="1"/>
  <c r="I147" i="5"/>
  <c r="H138" i="5"/>
  <c r="G78" i="5"/>
  <c r="M252" i="5"/>
  <c r="L247" i="5"/>
  <c r="M65" i="5"/>
  <c r="P279" i="5"/>
  <c r="U250" i="5"/>
  <c r="M77" i="5" l="1"/>
  <c r="J147" i="5"/>
  <c r="I138" i="5"/>
  <c r="H78" i="5"/>
  <c r="N252" i="5"/>
  <c r="M247" i="5"/>
  <c r="N65" i="5"/>
  <c r="Q279" i="5"/>
  <c r="V250" i="5"/>
  <c r="N77" i="5" l="1"/>
  <c r="J138" i="5"/>
  <c r="K147" i="5"/>
  <c r="I78" i="5"/>
  <c r="O252" i="5"/>
  <c r="N247" i="5"/>
  <c r="O65" i="5"/>
  <c r="R279" i="5"/>
  <c r="W250" i="5"/>
  <c r="O77" i="5" l="1"/>
  <c r="K138" i="5"/>
  <c r="L147" i="5"/>
  <c r="J78" i="5"/>
  <c r="P252" i="5"/>
  <c r="O247" i="5"/>
  <c r="P65" i="5"/>
  <c r="S279" i="5"/>
  <c r="X250" i="5"/>
  <c r="P77" i="5" l="1"/>
  <c r="M147" i="5"/>
  <c r="L138" i="5"/>
  <c r="K78" i="5"/>
  <c r="Q252" i="5"/>
  <c r="P247" i="5"/>
  <c r="Q65" i="5"/>
  <c r="T279" i="5"/>
  <c r="Y250" i="5"/>
  <c r="Q77" i="5" l="1"/>
  <c r="N147" i="5"/>
  <c r="M138" i="5"/>
  <c r="L78" i="5"/>
  <c r="Q247" i="5"/>
  <c r="R252" i="5"/>
  <c r="R65" i="5"/>
  <c r="U279" i="5"/>
  <c r="Z250" i="5"/>
  <c r="R77" i="5" l="1"/>
  <c r="O147" i="5"/>
  <c r="N138" i="5"/>
  <c r="M78" i="5"/>
  <c r="S252" i="5"/>
  <c r="R247" i="5"/>
  <c r="S65" i="5"/>
  <c r="V279" i="5"/>
  <c r="AA250" i="5"/>
  <c r="S77" i="5" l="1"/>
  <c r="O138" i="5"/>
  <c r="P147" i="5"/>
  <c r="N78" i="5"/>
  <c r="S247" i="5"/>
  <c r="T252" i="5"/>
  <c r="T65" i="5"/>
  <c r="W279" i="5"/>
  <c r="AH62" i="5"/>
  <c r="AB250" i="5"/>
  <c r="T77" i="5" l="1"/>
  <c r="P138" i="5"/>
  <c r="Q147" i="5"/>
  <c r="O78" i="5"/>
  <c r="U252" i="5"/>
  <c r="T247" i="5"/>
  <c r="U65" i="5"/>
  <c r="X279" i="5"/>
  <c r="AC250" i="5"/>
  <c r="U77" i="5" l="1"/>
  <c r="Q138" i="5"/>
  <c r="R147" i="5"/>
  <c r="P78" i="5"/>
  <c r="U247" i="5"/>
  <c r="V252" i="5"/>
  <c r="V65" i="5"/>
  <c r="Y279" i="5"/>
  <c r="AD250" i="5"/>
  <c r="V77" i="5" l="1"/>
  <c r="R138" i="5"/>
  <c r="S147" i="5"/>
  <c r="Q78" i="5"/>
  <c r="V247" i="5"/>
  <c r="W252" i="5"/>
  <c r="W65" i="5"/>
  <c r="Z279" i="5"/>
  <c r="AE250" i="5"/>
  <c r="W77" i="5" l="1"/>
  <c r="T147" i="5"/>
  <c r="S138" i="5"/>
  <c r="R78" i="5"/>
  <c r="W247" i="5"/>
  <c r="X252" i="5"/>
  <c r="X65" i="5"/>
  <c r="AA279" i="5"/>
  <c r="AF250" i="5"/>
  <c r="X77" i="5" l="1"/>
  <c r="U147" i="5"/>
  <c r="T138" i="5"/>
  <c r="S78" i="5"/>
  <c r="Y252" i="5"/>
  <c r="X247" i="5"/>
  <c r="Y65" i="5"/>
  <c r="AB279" i="5"/>
  <c r="Y77" i="5" l="1"/>
  <c r="U138" i="5"/>
  <c r="V147" i="5"/>
  <c r="T78" i="5"/>
  <c r="Y247" i="5"/>
  <c r="Z252" i="5"/>
  <c r="Z65" i="5"/>
  <c r="AC279" i="5"/>
  <c r="Z77" i="5" l="1"/>
  <c r="V138" i="5"/>
  <c r="W147" i="5"/>
  <c r="U78" i="5"/>
  <c r="Z247" i="5"/>
  <c r="AA252" i="5"/>
  <c r="AA65" i="5"/>
  <c r="AE279" i="5"/>
  <c r="AD279" i="5"/>
  <c r="AA77" i="5" l="1"/>
  <c r="W138" i="5"/>
  <c r="X147" i="5"/>
  <c r="V78" i="5"/>
  <c r="AB252" i="5"/>
  <c r="AA247" i="5"/>
  <c r="AB65" i="5"/>
  <c r="AB77" i="5" l="1"/>
  <c r="Y147" i="5"/>
  <c r="X138" i="5"/>
  <c r="W78" i="5"/>
  <c r="AB247" i="5"/>
  <c r="AC252" i="5"/>
  <c r="AC65" i="5"/>
  <c r="AC77" i="5" l="1"/>
  <c r="Y138" i="5"/>
  <c r="Z147" i="5"/>
  <c r="X78" i="5"/>
  <c r="AC247" i="5"/>
  <c r="AD252" i="5"/>
  <c r="AD65" i="5"/>
  <c r="AD77" i="5" l="1"/>
  <c r="AH77" i="5" s="1"/>
  <c r="AA147" i="5"/>
  <c r="Z138" i="5"/>
  <c r="Y78" i="5"/>
  <c r="AD247" i="5"/>
  <c r="AE252" i="5"/>
  <c r="AA138" i="5" l="1"/>
  <c r="AB147" i="5"/>
  <c r="Z78" i="5"/>
  <c r="AH65" i="5"/>
  <c r="AH63" i="5"/>
  <c r="A2" i="5"/>
  <c r="AE247" i="5"/>
  <c r="AF252" i="5"/>
  <c r="AF247" i="5" s="1"/>
  <c r="AC147" i="5" l="1"/>
  <c r="AB138" i="5"/>
  <c r="AA78" i="5"/>
  <c r="AC138" i="5" l="1"/>
  <c r="AD147" i="5"/>
  <c r="AB78" i="5"/>
  <c r="AJ78" i="5"/>
  <c r="AD138" i="5" l="1"/>
  <c r="AE147" i="5"/>
  <c r="AC78" i="5"/>
  <c r="AD78" i="5"/>
  <c r="AH78" i="5" l="1"/>
  <c r="AE138" i="5"/>
  <c r="AF147" i="5"/>
  <c r="AF138" i="5" s="1"/>
  <c r="AI78" i="5"/>
  <c r="C36" i="5"/>
  <c r="AH36" i="5" s="1"/>
  <c r="AH34" i="5"/>
  <c r="C144" i="5"/>
  <c r="D144" i="5" l="1"/>
  <c r="C38" i="5"/>
  <c r="E144" i="5" l="1"/>
  <c r="K110" i="9"/>
  <c r="J113" i="9"/>
  <c r="K113" i="9" s="1"/>
  <c r="J131" i="9"/>
  <c r="K131" i="9" s="1"/>
  <c r="AH38" i="5"/>
  <c r="C148" i="5"/>
  <c r="F144" i="5" l="1"/>
  <c r="D148" i="5"/>
  <c r="C139" i="5"/>
  <c r="E148" i="5" l="1"/>
  <c r="D139" i="5"/>
  <c r="G144" i="5"/>
  <c r="F148" i="5" l="1"/>
  <c r="E139" i="5"/>
  <c r="H144" i="5"/>
  <c r="G148" i="5" l="1"/>
  <c r="F139" i="5"/>
  <c r="I144" i="5"/>
  <c r="H148" i="5" l="1"/>
  <c r="G139" i="5"/>
  <c r="J144" i="5"/>
  <c r="I148" i="5" l="1"/>
  <c r="H139" i="5"/>
  <c r="K144" i="5"/>
  <c r="J148" i="5" l="1"/>
  <c r="I139" i="5"/>
  <c r="L144" i="5"/>
  <c r="K148" i="5" l="1"/>
  <c r="J139" i="5"/>
  <c r="M144" i="5"/>
  <c r="L148" i="5" l="1"/>
  <c r="K139" i="5"/>
  <c r="N144" i="5"/>
  <c r="M148" i="5" l="1"/>
  <c r="L139" i="5"/>
  <c r="O144" i="5"/>
  <c r="N148" i="5" l="1"/>
  <c r="M139" i="5"/>
  <c r="P144" i="5"/>
  <c r="O148" i="5" l="1"/>
  <c r="N139" i="5"/>
  <c r="Q144" i="5"/>
  <c r="P148" i="5" l="1"/>
  <c r="O139" i="5"/>
  <c r="R144" i="5"/>
  <c r="Q148" i="5" l="1"/>
  <c r="P139" i="5"/>
  <c r="S144" i="5"/>
  <c r="R148" i="5" l="1"/>
  <c r="Q139" i="5"/>
  <c r="T144" i="5"/>
  <c r="S148" i="5" l="1"/>
  <c r="R139" i="5"/>
  <c r="U144" i="5"/>
  <c r="T148" i="5" l="1"/>
  <c r="S139" i="5"/>
  <c r="V144" i="5"/>
  <c r="U148" i="5" l="1"/>
  <c r="T139" i="5"/>
  <c r="W144" i="5"/>
  <c r="V148" i="5" l="1"/>
  <c r="U139" i="5"/>
  <c r="X144" i="5"/>
  <c r="W148" i="5" l="1"/>
  <c r="V139" i="5"/>
  <c r="Y144" i="5"/>
  <c r="X148" i="5" l="1"/>
  <c r="W139" i="5"/>
  <c r="Z144" i="5"/>
  <c r="Y148" i="5" l="1"/>
  <c r="X139" i="5"/>
  <c r="AA144" i="5"/>
  <c r="Z148" i="5" l="1"/>
  <c r="Y139" i="5"/>
  <c r="AB144" i="5"/>
  <c r="AA148" i="5" l="1"/>
  <c r="Z139" i="5"/>
  <c r="AC144" i="5"/>
  <c r="AB148" i="5" l="1"/>
  <c r="AA139" i="5"/>
  <c r="AD144" i="5"/>
  <c r="AC148" i="5" l="1"/>
  <c r="AB139" i="5"/>
  <c r="AD148" i="5" l="1"/>
  <c r="AC139" i="5"/>
  <c r="AE148" i="5" l="1"/>
  <c r="AD139" i="5"/>
  <c r="AE139" i="5" l="1"/>
  <c r="AF148" i="5"/>
  <c r="AF139" i="5" s="1"/>
</calcChain>
</file>

<file path=xl/comments1.xml><?xml version="1.0" encoding="utf-8"?>
<comments xmlns="http://schemas.openxmlformats.org/spreadsheetml/2006/main">
  <authors>
    <author>ertrt</author>
  </authors>
  <commentList>
    <comment ref="CL13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до остановки</t>
        </r>
      </text>
    </comment>
    <comment ref="CT13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после запуска</t>
        </r>
      </text>
    </comment>
    <comment ref="CL25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до остановки</t>
        </r>
      </text>
    </comment>
    <comment ref="CT25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после запуска</t>
        </r>
      </text>
    </comment>
    <comment ref="CL31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до остановки</t>
        </r>
      </text>
    </comment>
    <comment ref="CT31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после запуска</t>
        </r>
      </text>
    </comment>
    <comment ref="CL46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до остановки</t>
        </r>
      </text>
    </comment>
    <comment ref="CT46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после запуска</t>
        </r>
      </text>
    </comment>
    <comment ref="CL53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до остановки</t>
        </r>
      </text>
    </comment>
    <comment ref="CT53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после запуска</t>
        </r>
      </text>
    </comment>
    <comment ref="CL71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до остановки</t>
        </r>
      </text>
    </comment>
    <comment ref="CT71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после запуска</t>
        </r>
      </text>
    </comment>
    <comment ref="CL88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до остановки</t>
        </r>
      </text>
    </comment>
    <comment ref="CT88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после запуска</t>
        </r>
      </text>
    </comment>
    <comment ref="CL94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до остановки</t>
        </r>
      </text>
    </comment>
    <comment ref="CT94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после запуска</t>
        </r>
      </text>
    </comment>
    <comment ref="CL103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до остановки</t>
        </r>
      </text>
    </comment>
    <comment ref="CT103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после запуска</t>
        </r>
      </text>
    </comment>
    <comment ref="CL154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до остановки</t>
        </r>
      </text>
    </comment>
    <comment ref="CT154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после запуска</t>
        </r>
      </text>
    </comment>
    <comment ref="CL164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до остановки</t>
        </r>
      </text>
    </comment>
    <comment ref="CT164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после запуска</t>
        </r>
      </text>
    </comment>
    <comment ref="CL174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до остановки</t>
        </r>
      </text>
    </comment>
    <comment ref="CT174" authorId="0">
      <text>
        <r>
          <rPr>
            <b/>
            <sz val="12"/>
            <color indexed="8"/>
            <rFont val="Times New Roman"/>
            <family val="1"/>
            <charset val="204"/>
          </rPr>
          <t xml:space="preserve">rvzgoba:
</t>
        </r>
        <r>
          <rPr>
            <sz val="12"/>
            <color indexed="8"/>
            <rFont val="Times New Roman"/>
            <family val="1"/>
            <charset val="204"/>
          </rPr>
          <t>снижения скважин после запуска</t>
        </r>
      </text>
    </comment>
  </commentList>
</comments>
</file>

<file path=xl/sharedStrings.xml><?xml version="1.0" encoding="utf-8"?>
<sst xmlns="http://schemas.openxmlformats.org/spreadsheetml/2006/main" count="1183" uniqueCount="349">
  <si>
    <t xml:space="preserve">Мероприятия по выполнению планового задания добычи нефти </t>
  </si>
  <si>
    <t>Дата</t>
  </si>
  <si>
    <t>скв</t>
  </si>
  <si>
    <t>куст</t>
  </si>
  <si>
    <t>Месторождение_№цеха</t>
  </si>
  <si>
    <t>ЦДНГ</t>
  </si>
  <si>
    <t>Объект (ДНС, ЦПС)</t>
  </si>
  <si>
    <t>планируемый прирост (т/сут)</t>
  </si>
  <si>
    <t>накопл. план. прирост    на   дату  (тонн)</t>
  </si>
  <si>
    <t>накопл. план. прирост    на месяц (тонн)</t>
  </si>
  <si>
    <t>режим расчетный</t>
  </si>
  <si>
    <t>режим до ремонта</t>
  </si>
  <si>
    <t>фактический режим до ремонта</t>
  </si>
  <si>
    <t>хар.ремонта</t>
  </si>
  <si>
    <t>планируемая   дата</t>
  </si>
  <si>
    <t>кол-во дней простоя скв.</t>
  </si>
  <si>
    <t>потери тн</t>
  </si>
  <si>
    <t>фактическая  дата</t>
  </si>
  <si>
    <t>Дата запуска факт.</t>
  </si>
  <si>
    <t>параметры  и  режим  после  ремонта</t>
  </si>
  <si>
    <t>текущее состояние</t>
  </si>
  <si>
    <t>фактический прирост (т/сут)</t>
  </si>
  <si>
    <t>накопл. факт. прирост  на дату (тонн)</t>
  </si>
  <si>
    <t>отклонение от планир. прироста (т/сут)</t>
  </si>
  <si>
    <t>%</t>
  </si>
  <si>
    <t>отклонение от планир. прироста на месяц (тонн)</t>
  </si>
  <si>
    <t>Примечание: объяснение причин отклонения по дате</t>
  </si>
  <si>
    <t>Выполне - ние ГРП</t>
  </si>
  <si>
    <t>Текущие параметры на 29.07.08</t>
  </si>
  <si>
    <t>Откл. от выв-ых параметров</t>
  </si>
  <si>
    <t>По  текущ.  Параметрам</t>
  </si>
  <si>
    <t>Потери  тн.</t>
  </si>
  <si>
    <t>Дебит  до  ремонта</t>
  </si>
  <si>
    <t>Дата  запуска</t>
  </si>
  <si>
    <t>Ожид.  дата  запуска</t>
  </si>
  <si>
    <t>Ожид.  дата   вывода</t>
  </si>
  <si>
    <t>Накопленный  Факт</t>
  </si>
  <si>
    <t>Отклоне-ние</t>
  </si>
  <si>
    <t>Накоплен-ный прирост</t>
  </si>
  <si>
    <t>Постановка  бригад</t>
  </si>
  <si>
    <t>Название запланированного мероприятия</t>
  </si>
  <si>
    <t>тип уст.</t>
  </si>
  <si>
    <t>нефть, для расчета</t>
  </si>
  <si>
    <t>нефть</t>
  </si>
  <si>
    <t>жидк.</t>
  </si>
  <si>
    <t>вода</t>
  </si>
  <si>
    <t>Ндин</t>
  </si>
  <si>
    <t>глуб.спуска</t>
  </si>
  <si>
    <t>начала  ремонта</t>
  </si>
  <si>
    <t>оконч. ремонта</t>
  </si>
  <si>
    <t>вывода</t>
  </si>
  <si>
    <t>Qн</t>
  </si>
  <si>
    <t xml:space="preserve">Qж </t>
  </si>
  <si>
    <t>% воды</t>
  </si>
  <si>
    <t>Нсп</t>
  </si>
  <si>
    <t>Нд</t>
  </si>
  <si>
    <t>Рб</t>
  </si>
  <si>
    <t>Рз</t>
  </si>
  <si>
    <t>ток</t>
  </si>
  <si>
    <t>F</t>
  </si>
  <si>
    <t>чистый прирост</t>
  </si>
  <si>
    <t>прирост для расчета</t>
  </si>
  <si>
    <t>напор</t>
  </si>
  <si>
    <t>тн</t>
  </si>
  <si>
    <t>м3</t>
  </si>
  <si>
    <t>м</t>
  </si>
  <si>
    <t>Причины  недостижения  прироста</t>
  </si>
  <si>
    <t>Qн тн</t>
  </si>
  <si>
    <t>Qж, м3</t>
  </si>
  <si>
    <t>Ндин.м</t>
  </si>
  <si>
    <t>F             Гц</t>
  </si>
  <si>
    <t>Qн, тн</t>
  </si>
  <si>
    <t>факти-ческий при-рост (т/сут)</t>
  </si>
  <si>
    <t>накопл факт. прирост на дату</t>
  </si>
  <si>
    <t>план на дату</t>
  </si>
  <si>
    <t>факт на дату</t>
  </si>
  <si>
    <t>Потери  план</t>
  </si>
  <si>
    <t>ост. дебит, тн/сут</t>
  </si>
  <si>
    <t>остан. дебит, тн/сут</t>
  </si>
  <si>
    <t>Ввод новых</t>
  </si>
  <si>
    <t>факт</t>
  </si>
  <si>
    <t>в граф</t>
  </si>
  <si>
    <t>с  откл</t>
  </si>
  <si>
    <t>перфорация, ОПЗ, компрессирование, спуск ЭЦН</t>
  </si>
  <si>
    <t>В режиме</t>
  </si>
  <si>
    <t>КРС</t>
  </si>
  <si>
    <t>на     дату</t>
  </si>
  <si>
    <t>на месяц</t>
  </si>
  <si>
    <t>Ввод новых вне мероприятия</t>
  </si>
  <si>
    <t>Всего</t>
  </si>
  <si>
    <t>перфорация, ОПЗ, свабирование, спуск ЭЦН</t>
  </si>
  <si>
    <t>итого</t>
  </si>
  <si>
    <t>Ввод из БДФ прошлых лет</t>
  </si>
  <si>
    <t>ОПЗП, гель</t>
  </si>
  <si>
    <t>ГРП</t>
  </si>
  <si>
    <t>вне мер.</t>
  </si>
  <si>
    <t>ИДН</t>
  </si>
  <si>
    <t>На выводе</t>
  </si>
  <si>
    <t>ИДН  вне мероприятия</t>
  </si>
  <si>
    <t>перевод на мех. добычу</t>
  </si>
  <si>
    <t>Ловильные  работы</t>
  </si>
  <si>
    <t>Ловильные  работы  вне  мероприятий</t>
  </si>
  <si>
    <t>извлечение аврийного оборудования</t>
  </si>
  <si>
    <t>ПВЛГ</t>
  </si>
  <si>
    <t>ПВЛГ вне  мероприятий</t>
  </si>
  <si>
    <t>РИР</t>
  </si>
  <si>
    <t>определение профиля притока, РИР</t>
  </si>
  <si>
    <t>определение профиля притока, РИР двухпакерной компоновкой</t>
  </si>
  <si>
    <t>РИР  вне  мероприятий</t>
  </si>
  <si>
    <t>установка ЦМ, ОПЗП, сваб</t>
  </si>
  <si>
    <t>перфорация, ОПЗ</t>
  </si>
  <si>
    <t>БГС</t>
  </si>
  <si>
    <t xml:space="preserve">ОТО бр№1 Спуск СБТ с метчиком.  </t>
  </si>
  <si>
    <t>ИДС №2 Промывка. Подъем КНБК. ГИС - ТС.</t>
  </si>
  <si>
    <t>БКЕ №2 Бурение 2910м.</t>
  </si>
  <si>
    <t>БКЕ №1 Бурение 2868м.</t>
  </si>
  <si>
    <t>Катобьнефть бр№1  Прорабатка 2557 м.</t>
  </si>
  <si>
    <t>Скважина готова к ЗБГС.</t>
  </si>
  <si>
    <t>Отмена ЗБС (по ГИС - Н/Г ЭК Н=1678м).</t>
  </si>
  <si>
    <t>Бр №40 Установка отсекающего цем/моста (+), ОЗЦ.</t>
  </si>
  <si>
    <t>ОРИ (ож. интервала установки опорного цекм/моста).</t>
  </si>
  <si>
    <t>ЗБС  вне  мероприятий</t>
  </si>
  <si>
    <t>ЭКОТОН №21 Спуск залив/компановки. Цементаж. ОЗЦ.</t>
  </si>
  <si>
    <t>Бр №49 ЛГПП</t>
  </si>
  <si>
    <t xml:space="preserve">Бр №70 Глушение. </t>
  </si>
  <si>
    <t>ОПЗ</t>
  </si>
  <si>
    <t>ОПЗП</t>
  </si>
  <si>
    <t>Дострел</t>
  </si>
  <si>
    <t>ППР (ТРС)</t>
  </si>
  <si>
    <t>смена ЭЦН</t>
  </si>
  <si>
    <t>ППР</t>
  </si>
  <si>
    <t>Прочие КРС  вне мероприятия</t>
  </si>
  <si>
    <t>Ввод  прочих вне мероприятия</t>
  </si>
  <si>
    <t>Ввод из бездействия</t>
  </si>
  <si>
    <t>Вывод в сезонное б/д</t>
  </si>
  <si>
    <t>Перевод в ППД</t>
  </si>
  <si>
    <t>Мероприятия на фонде ППД</t>
  </si>
  <si>
    <t>Месяц</t>
  </si>
  <si>
    <t>Ед. изм.</t>
  </si>
  <si>
    <t>расчет на месяц</t>
  </si>
  <si>
    <t>расчет</t>
  </si>
  <si>
    <t>Входная суточная</t>
  </si>
  <si>
    <t>т/сут</t>
  </si>
  <si>
    <t>Снижение дебитов</t>
  </si>
  <si>
    <t>в т.ч. снижение базовых дебитов</t>
  </si>
  <si>
    <t>т/сут на 1скв</t>
  </si>
  <si>
    <t>Увеличение частоты</t>
  </si>
  <si>
    <t>скв.</t>
  </si>
  <si>
    <t>Отказы базового фонда скважин</t>
  </si>
  <si>
    <t>Запуски  базового фонда скважин</t>
  </si>
  <si>
    <t>Баланс  базового фонда скважин</t>
  </si>
  <si>
    <t>Потери</t>
  </si>
  <si>
    <t>Плановые потери</t>
  </si>
  <si>
    <t>Итого</t>
  </si>
  <si>
    <t>ГДИС</t>
  </si>
  <si>
    <t>Порывы</t>
  </si>
  <si>
    <t>Прочие</t>
  </si>
  <si>
    <t>Вывод на режим (входные)</t>
  </si>
  <si>
    <t>Вывод на режим</t>
  </si>
  <si>
    <t>Расчет добычи</t>
  </si>
  <si>
    <t>Суточная добыча на к.м.</t>
  </si>
  <si>
    <t>Выходная добыча-входная добыча</t>
  </si>
  <si>
    <t>Среднесуточная добыча</t>
  </si>
  <si>
    <t>ИТОГО</t>
  </si>
  <si>
    <t>Показатели</t>
  </si>
  <si>
    <t>Запуски</t>
  </si>
  <si>
    <t>кол-во, скв.</t>
  </si>
  <si>
    <t>Запуски базового фонда</t>
  </si>
  <si>
    <t xml:space="preserve"> ИТОГО, всего запусков</t>
  </si>
  <si>
    <t xml:space="preserve">в т.ч. ГТМ </t>
  </si>
  <si>
    <t>Остановки</t>
  </si>
  <si>
    <t>Отказы базового фонда</t>
  </si>
  <si>
    <t>Всего остановок</t>
  </si>
  <si>
    <t>в т.ч. ГТМ</t>
  </si>
  <si>
    <t>% падения, потери, отклонения ВНР, разрядки</t>
  </si>
  <si>
    <t>Снижения по воде</t>
  </si>
  <si>
    <t>Снижения по жидкости</t>
  </si>
  <si>
    <t>Итого снижения + потери</t>
  </si>
  <si>
    <t>тн/сут</t>
  </si>
  <si>
    <t>Разовые потери</t>
  </si>
  <si>
    <t>Разовые потери откл. от Входных</t>
  </si>
  <si>
    <t>Вывод на режим расчет</t>
  </si>
  <si>
    <t>ВНР отклонение от входных</t>
  </si>
  <si>
    <t>Плановая добыча</t>
  </si>
  <si>
    <t>Расчетная добыча</t>
  </si>
  <si>
    <t>Итого +/ - к плану</t>
  </si>
  <si>
    <t>Входная добыча</t>
  </si>
  <si>
    <t>Вывод на режим, (входной) тонн</t>
  </si>
  <si>
    <t>Внутрисуточные потери (входные) тонн</t>
  </si>
  <si>
    <t>Баланс запусков и остановок</t>
  </si>
  <si>
    <t>Баланс запусков-остановок (план)</t>
  </si>
  <si>
    <t>Баланс запусков-остановок (факт)</t>
  </si>
  <si>
    <t>Баланс запусков-остановок (план-база)</t>
  </si>
  <si>
    <t>Баланс запусков-остановок (факт-база)</t>
  </si>
  <si>
    <t>Отклонение по базовому фонду</t>
  </si>
  <si>
    <t>Баланс запусков-остановок (план-ГТМ)</t>
  </si>
  <si>
    <t>Баланс запусков-остановок (факт-ГТМ)</t>
  </si>
  <si>
    <t>Отклонение по фонду ГТМ</t>
  </si>
  <si>
    <t>Простаивающий фонд под ГТМ</t>
  </si>
  <si>
    <t>Снижение по воде и жидкости</t>
  </si>
  <si>
    <t>% падения по воде и жидкости (план)</t>
  </si>
  <si>
    <t>% падения по воде и жидкости (факт)</t>
  </si>
  <si>
    <t>% падения по воде</t>
  </si>
  <si>
    <t>% падения по жидкости</t>
  </si>
  <si>
    <t>Разовые потери, в т.ч. внутрисуточные</t>
  </si>
  <si>
    <t>Разовые потери (план)</t>
  </si>
  <si>
    <t>Разовые потери (факт)</t>
  </si>
  <si>
    <t>Текущие параметры на 18.12.07</t>
  </si>
  <si>
    <t>ГТМ на поддержание базовой добычи или на поддержание дполнительной добычи на скв ГТМ ПП</t>
  </si>
  <si>
    <t>расчетные снижения до остановки</t>
  </si>
  <si>
    <t>восстановленные потери (прирост)</t>
  </si>
  <si>
    <t>расчетные снижения после запуска</t>
  </si>
  <si>
    <r>
      <t xml:space="preserve">% снижения расчетный </t>
    </r>
    <r>
      <rPr>
        <b/>
        <sz val="10"/>
        <rFont val="Arial Cyr"/>
        <family val="2"/>
        <charset val="204"/>
      </rPr>
      <t>до остановки</t>
    </r>
  </si>
  <si>
    <t>остановочные параметры расчетные</t>
  </si>
  <si>
    <r>
      <t xml:space="preserve">% снижения расчетный </t>
    </r>
    <r>
      <rPr>
        <b/>
        <sz val="10"/>
        <rFont val="Arial Cyr"/>
        <family val="2"/>
        <charset val="204"/>
      </rPr>
      <t>после запуска</t>
    </r>
  </si>
  <si>
    <t>параметры на конец месяца</t>
  </si>
  <si>
    <t>dжид</t>
  </si>
  <si>
    <t>d%в</t>
  </si>
  <si>
    <t>Qжид</t>
  </si>
  <si>
    <t>Qнеф</t>
  </si>
  <si>
    <t>на дату</t>
  </si>
  <si>
    <t>ГРП (+) 
план - 80тн,
факт - 80тн.</t>
  </si>
  <si>
    <t>ГРП (+) 
план - 70тн,
факт - 70тн.</t>
  </si>
  <si>
    <r>
      <t>Пересчет от 03.12.07
на ЭЦНА5-80/125-2293 с г/с Нсп.-2500 м Ндин.-2248 м Qж.-100 м</t>
    </r>
    <r>
      <rPr>
        <b/>
        <u/>
        <vertAlign val="superscript"/>
        <sz val="14"/>
        <color indexed="10"/>
        <rFont val="Times New Roman"/>
        <family val="1"/>
        <charset val="204"/>
      </rPr>
      <t>3</t>
    </r>
    <r>
      <rPr>
        <b/>
        <u/>
        <sz val="14"/>
        <color indexed="10"/>
        <rFont val="Times New Roman"/>
        <family val="1"/>
        <charset val="204"/>
      </rPr>
      <t>/сут. Qн.-34,6 т/сут. 
В-60%</t>
    </r>
  </si>
  <si>
    <t>ГРП (стоп) 
план - 115тн,
факт - 114тн,
НКТ - 1тн.</t>
  </si>
  <si>
    <t>Некорректный расчет потенциала</t>
  </si>
  <si>
    <t>пр 6*9</t>
  </si>
  <si>
    <r>
      <t>Расчет от 06.12.07
на ЭЦН-200-1950 без г/с Нсп.-2160 м Ндин.-1666 м Qж.-243 м</t>
    </r>
    <r>
      <rPr>
        <b/>
        <u/>
        <vertAlign val="superscript"/>
        <sz val="14"/>
        <color indexed="10"/>
        <rFont val="Times New Roman"/>
        <family val="1"/>
        <charset val="204"/>
      </rPr>
      <t>3</t>
    </r>
    <r>
      <rPr>
        <b/>
        <u/>
        <sz val="14"/>
        <color indexed="10"/>
        <rFont val="Times New Roman"/>
        <family val="1"/>
        <charset val="204"/>
      </rPr>
      <t>/сут. Qн.-13 т/сут. 
В-94%</t>
    </r>
  </si>
  <si>
    <r>
      <t>Пересчет от 29.11.07
на ЭЦН-400-1743 без г/с Нсп.-2300 м Ндин.-2012 м Qж.-421 м</t>
    </r>
    <r>
      <rPr>
        <b/>
        <u/>
        <vertAlign val="superscript"/>
        <sz val="14"/>
        <color indexed="10"/>
        <rFont val="Times New Roman"/>
        <family val="1"/>
        <charset val="204"/>
      </rPr>
      <t>3</t>
    </r>
    <r>
      <rPr>
        <b/>
        <u/>
        <sz val="14"/>
        <color indexed="10"/>
        <rFont val="Times New Roman"/>
        <family val="1"/>
        <charset val="204"/>
      </rPr>
      <t>/сут. Qн.-42,5 т/сут. 
В-88%</t>
    </r>
  </si>
  <si>
    <r>
      <t>Пересчет от 30.11.07
на DEZ 1760-2176 без г/с Нсп.-2300 м Ндин.-2104 м Qж.-221 м</t>
    </r>
    <r>
      <rPr>
        <b/>
        <u/>
        <vertAlign val="superscript"/>
        <sz val="14"/>
        <color indexed="10"/>
        <rFont val="Times New Roman"/>
        <family val="1"/>
        <charset val="204"/>
      </rPr>
      <t>3</t>
    </r>
    <r>
      <rPr>
        <b/>
        <u/>
        <sz val="14"/>
        <color indexed="10"/>
        <rFont val="Times New Roman"/>
        <family val="1"/>
        <charset val="204"/>
      </rPr>
      <t>/сут. Qн.-16,8 т/сут. 
В-91%</t>
    </r>
  </si>
  <si>
    <t>Пересчет от 12.12.07</t>
  </si>
  <si>
    <t>ПНЛГ, приобщение</t>
  </si>
  <si>
    <t>Расчет от 18.12.07</t>
  </si>
  <si>
    <t>Расчет от 27.12.07</t>
  </si>
  <si>
    <t>Расчет от 03.12.07</t>
  </si>
  <si>
    <t>Расчет от 06.12.07</t>
  </si>
  <si>
    <t>Расчет от 02.12.07</t>
  </si>
  <si>
    <t>Расчет от 26.12.07</t>
  </si>
  <si>
    <t>Расчет от 12.12.07</t>
  </si>
  <si>
    <t>Расчет от 05.12.07</t>
  </si>
  <si>
    <t>ТРС</t>
  </si>
  <si>
    <t>Расчет от 20.12.07</t>
  </si>
  <si>
    <t>Расчет от 19.12.07</t>
  </si>
  <si>
    <t>план</t>
  </si>
  <si>
    <t>Накопленные потери</t>
  </si>
  <si>
    <t>Вывод на режим (выходные)</t>
  </si>
  <si>
    <t>ЗБС  вне мероприятия</t>
  </si>
  <si>
    <t>Расконсервация  вне мероприятия</t>
  </si>
  <si>
    <t>ИТОГО ГТМ ТП</t>
  </si>
  <si>
    <t>ИТОГО база+ГТМ</t>
  </si>
  <si>
    <t>ЦДНГ-1</t>
  </si>
  <si>
    <t>ЦДНГ-2</t>
  </si>
  <si>
    <t>глуб. спуска</t>
  </si>
  <si>
    <t>Ввод из БДФ прошлых лет вне мероприятий</t>
  </si>
  <si>
    <t>Баганское</t>
  </si>
  <si>
    <t xml:space="preserve">ЗБС </t>
  </si>
  <si>
    <t>Ловильные работы (ликвидация аварии)</t>
  </si>
  <si>
    <t>ЛА, КРС</t>
  </si>
  <si>
    <t>Ловильные работы (ликвидация аварии) вне мероприятий</t>
  </si>
  <si>
    <t>Ввод прочих</t>
  </si>
  <si>
    <t>Спуск ЭЦН</t>
  </si>
  <si>
    <t xml:space="preserve">Ввод  прочих </t>
  </si>
  <si>
    <t>ЭЦН-125-3000</t>
  </si>
  <si>
    <t>Прочие КРС (дострел)</t>
  </si>
  <si>
    <t>ЭЦН-160-2000</t>
  </si>
  <si>
    <t>ЭЦН-125-2000</t>
  </si>
  <si>
    <t>освоение</t>
  </si>
  <si>
    <t>ПВР, ОПЗП</t>
  </si>
  <si>
    <t>Август Факт</t>
  </si>
  <si>
    <t>Сентябрь расчет</t>
  </si>
  <si>
    <t>ЭЦН-80-1800</t>
  </si>
  <si>
    <t>ЭЦН-250-1850</t>
  </si>
  <si>
    <t>ЭЦН-200-1850</t>
  </si>
  <si>
    <t>ЭЦН-80-1850</t>
  </si>
  <si>
    <t>ЭЦН-125-2200</t>
  </si>
  <si>
    <t xml:space="preserve">Остановки на геолого-технические мероприятия </t>
  </si>
  <si>
    <t>Возврат базового дебита геолого-техническими мероприятиями</t>
  </si>
  <si>
    <t>МЕРОПРИЯТИЯ по добыче нефти по ХХХ "ХХХХХХХХХХХХ" за январь и на февраль 2015 года</t>
  </si>
  <si>
    <t>январь</t>
  </si>
  <si>
    <t>февраль</t>
  </si>
  <si>
    <t>Реконструкция скважин</t>
  </si>
  <si>
    <t>Гидроразрыв пласта</t>
  </si>
  <si>
    <t>Переходы и приобщения</t>
  </si>
  <si>
    <t>Ввод прочих новых скважин</t>
  </si>
  <si>
    <t>Вывод скважин из бездействия</t>
  </si>
  <si>
    <t>в т.ч. ГТМ под дополнительную добычу</t>
  </si>
  <si>
    <t>Оптимизация режима работы скважин</t>
  </si>
  <si>
    <t>Ликвидация аварий</t>
  </si>
  <si>
    <t>Прочие КРС
(дополнительная перфорация, крепление ПЗП и др.)</t>
  </si>
  <si>
    <t>Ввод новых скважин из бурения</t>
  </si>
  <si>
    <t>Прочие КРС (дополнительная перфорация, крепление ПЗП и др.)</t>
  </si>
  <si>
    <t>МЕРОПРИЯТИЯ по добыче нефти по ХХХ "ХХХХХХХХХХХХХХХХХ" на февраль 2015 года</t>
  </si>
  <si>
    <t>Ремонтно-изоляционные работы и
Ликвидация негерметичности ЭК</t>
  </si>
  <si>
    <t>Обработка призабойной зоны пласта</t>
  </si>
  <si>
    <t>Планово-предупредительный ремонт</t>
  </si>
  <si>
    <t>БП</t>
  </si>
  <si>
    <t xml:space="preserve"> +/- 
к БП</t>
  </si>
  <si>
    <t>факт/
ожидаемое</t>
  </si>
  <si>
    <t xml:space="preserve"> +/- 
к расчету</t>
  </si>
  <si>
    <t>февраля</t>
  </si>
  <si>
    <t>2015 г.</t>
  </si>
  <si>
    <t>Обработка призабойной зоны пласта вне  мероприятий</t>
  </si>
  <si>
    <t>января</t>
  </si>
  <si>
    <t>Ликвидация аварии</t>
  </si>
  <si>
    <t>ххххххххххххххххх</t>
  </si>
  <si>
    <t>ЦДНГ-3</t>
  </si>
  <si>
    <t>ЦДНГ-4</t>
  </si>
  <si>
    <t>ЭЦН-125-1650</t>
  </si>
  <si>
    <t>в т.ч. снижение дебитов по скважинам ГТМ на доп. добычу, реализованных с н.г.</t>
  </si>
  <si>
    <t>Возврат базового дебита</t>
  </si>
  <si>
    <t>Возврат базового дебита (накопл.)</t>
  </si>
  <si>
    <t>Потери от перевода в ППД</t>
  </si>
  <si>
    <t>перех.</t>
  </si>
  <si>
    <t>Входные внутрисменные потери</t>
  </si>
  <si>
    <t>Выходные внутрисменные потери</t>
  </si>
  <si>
    <t>Плановые отключения электроэнергии</t>
  </si>
  <si>
    <t>Аварийные отключения электроэнергии</t>
  </si>
  <si>
    <t>Снижение дебитов (накопленные потери)</t>
  </si>
  <si>
    <t>Ремонтно-изоляционные работы,
Ликвидация негерметичности ЭК</t>
  </si>
  <si>
    <t>Плановые потери всего</t>
  </si>
  <si>
    <t>Аварийные
потери</t>
  </si>
  <si>
    <t>т</t>
  </si>
  <si>
    <t>Геолого-технические мероприятия
(чистые приросты)</t>
  </si>
  <si>
    <t>в т.ч. ГТМ на восстановленную добычу</t>
  </si>
  <si>
    <t>Потери от организационно-технических мероприятий</t>
  </si>
  <si>
    <t>Приложение 1</t>
  </si>
  <si>
    <t>Фактическая добыча на к.м.</t>
  </si>
  <si>
    <t>Фактическая добыча за месяц</t>
  </si>
  <si>
    <t xml:space="preserve">Добыча за месяц расчетная </t>
  </si>
  <si>
    <t xml:space="preserve">Фонд скважин </t>
  </si>
  <si>
    <t>Базовый фонд скважин</t>
  </si>
  <si>
    <r>
      <t xml:space="preserve">в т.ч. от ГТМ на дополнительную добычу т.г. </t>
    </r>
    <r>
      <rPr>
        <b/>
        <i/>
        <sz val="8"/>
        <color rgb="FF0000FF"/>
        <rFont val="Times New Roman Cyr"/>
        <charset val="204"/>
      </rPr>
      <t>(информативно)</t>
    </r>
  </si>
  <si>
    <r>
      <t xml:space="preserve">снижение дебитов по жидкости </t>
    </r>
    <r>
      <rPr>
        <b/>
        <i/>
        <sz val="8"/>
        <color rgb="FF0000FF"/>
        <rFont val="Times New Roman Cyr"/>
        <charset val="204"/>
      </rPr>
      <t>(информативно)</t>
    </r>
  </si>
  <si>
    <r>
      <t xml:space="preserve">снижение дебитов по обводненности </t>
    </r>
    <r>
      <rPr>
        <b/>
        <i/>
        <sz val="8"/>
        <color rgb="FF0000FF"/>
        <rFont val="Times New Roman Cyr"/>
        <charset val="204"/>
      </rPr>
      <t>(информативно)</t>
    </r>
  </si>
  <si>
    <r>
      <t xml:space="preserve">в т.ч. баланс  запусков-остановок исслед. скважин 
</t>
    </r>
    <r>
      <rPr>
        <b/>
        <i/>
        <sz val="8"/>
        <color indexed="12"/>
        <rFont val="Times New Roman Cyr"/>
        <charset val="204"/>
      </rPr>
      <t>(информативно)</t>
    </r>
  </si>
  <si>
    <r>
      <t xml:space="preserve">в т.ч. запуски скважин после исследования
</t>
    </r>
    <r>
      <rPr>
        <b/>
        <i/>
        <sz val="8"/>
        <color rgb="FF0000FF"/>
        <rFont val="Times New Roman Cyr"/>
        <charset val="204"/>
      </rPr>
      <t>(информативно)</t>
    </r>
  </si>
  <si>
    <r>
      <t xml:space="preserve">в т.ч остановки скважин на исследование
</t>
    </r>
    <r>
      <rPr>
        <b/>
        <i/>
        <sz val="8"/>
        <color rgb="FF0000FF"/>
        <rFont val="Times New Roman Cyr"/>
        <charset val="204"/>
      </rPr>
      <t>(информативно)</t>
    </r>
  </si>
  <si>
    <t>Контрольный  фонд на к.м. (пьезометрический, наблюдательный)</t>
  </si>
  <si>
    <t>Дающий фонд на к.м.</t>
  </si>
  <si>
    <t>Простаивающий фонд на к.м.</t>
  </si>
  <si>
    <t>Бездействующий фонд на к.м.</t>
  </si>
  <si>
    <t xml:space="preserve">Отклонение Фактической добычи на к.м. от расчетной </t>
  </si>
  <si>
    <t xml:space="preserve">Отклонение Фактической добычи за месяц  от расчетной </t>
  </si>
  <si>
    <t>Фонд в ожидании освоения и обустройства на к.м.</t>
  </si>
  <si>
    <r>
      <t xml:space="preserve">Увеличение частоты
</t>
    </r>
    <r>
      <rPr>
        <b/>
        <i/>
        <sz val="8"/>
        <color rgb="FF0000FF"/>
        <rFont val="Times New Roman Cyr"/>
        <charset val="204"/>
      </rPr>
      <t>(информативно)</t>
    </r>
  </si>
  <si>
    <t>К ПОЛОЖЕНИЮ КОМПАНИИ «ПЛАНИРОВАНИЕ И МОНИТОРИНГ ГЕОЛОГО-ТЕХНИЧЕСКИХ МЕРОПРИЯТИЙ» № П1-01.03 Р-0125 ВЕРСИЯ 3.00</t>
  </si>
  <si>
    <t xml:space="preserve">ПРИЛОЖЕНИЕ  3. ФОРМАТ РАСЧЕТА ДОБЫЧИ </t>
  </si>
  <si>
    <r>
      <t xml:space="preserve">в т. ч. выбытие нерентабельного и/или условно-рентабельного фондов 
</t>
    </r>
    <r>
      <rPr>
        <b/>
        <i/>
        <sz val="8"/>
        <color indexed="12"/>
        <rFont val="Times New Roman Cyr"/>
        <charset val="204"/>
      </rPr>
      <t>(информативно)</t>
    </r>
  </si>
  <si>
    <t>Выбытие нерентабельных и/или  условно-рентабельных скважин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</si>
</sst>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(* #,##0_);_(* \(#,##0\);_(* \-_);_(@_)"/>
    <numFmt numFmtId="165" formatCode="_-* #,##0.00_р_._-;\-* #,##0.00_р_._-;_-* \-??_р_._-;_-@_-"/>
    <numFmt numFmtId="166" formatCode="d/m;@"/>
    <numFmt numFmtId="167" formatCode="dd/mm/yy;@"/>
    <numFmt numFmtId="168" formatCode="0.0"/>
    <numFmt numFmtId="169" formatCode="_(* #,##0.00_);_(* \(#,##0.00\);_(* \-??_);_(@_)"/>
    <numFmt numFmtId="170" formatCode="_-* #,##0_р_._-;\-* #,##0_р_._-;_-* \-??_р_._-;_-@_-"/>
    <numFmt numFmtId="171" formatCode="[Blue]#,##0.0_.;[Red]\-#,##0.0_."/>
    <numFmt numFmtId="172" formatCode="#,##0.000"/>
    <numFmt numFmtId="173" formatCode="0.000"/>
    <numFmt numFmtId="174" formatCode="#,##0.0"/>
    <numFmt numFmtId="175" formatCode="0.0%"/>
    <numFmt numFmtId="176" formatCode="_-* #,##0.0_р_._-;\-* #,##0.0_р_._-;_-* \-??_р_._-;_-@_-"/>
    <numFmt numFmtId="177" formatCode="#,##0.00_.;[Red]\-#,##0.00_."/>
    <numFmt numFmtId="178" formatCode="#,##0_.;[Red]\-#,##0_."/>
    <numFmt numFmtId="179" formatCode="d\ mmm;@"/>
    <numFmt numFmtId="180" formatCode="0_ ;[Red]\-0\ "/>
  </numFmts>
  <fonts count="123">
    <font>
      <sz val="10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9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4"/>
      <name val="Arial Cyr"/>
      <family val="2"/>
      <charset val="204"/>
    </font>
    <font>
      <sz val="10"/>
      <name val="Times New Roman Cyr"/>
      <family val="1"/>
      <charset val="204"/>
    </font>
    <font>
      <sz val="14"/>
      <name val="Times New Roman CYR"/>
      <family val="1"/>
      <charset val="204"/>
    </font>
    <font>
      <b/>
      <i/>
      <sz val="18"/>
      <name val="Arial"/>
      <family val="2"/>
      <charset val="204"/>
    </font>
    <font>
      <sz val="10"/>
      <color indexed="10"/>
      <name val="Times New Roman Cyr"/>
      <family val="1"/>
      <charset val="204"/>
    </font>
    <font>
      <b/>
      <sz val="20"/>
      <color indexed="10"/>
      <name val="Arial Cyr"/>
      <family val="2"/>
      <charset val="204"/>
    </font>
    <font>
      <b/>
      <sz val="14"/>
      <color indexed="12"/>
      <name val="Times New Roman"/>
      <family val="1"/>
      <charset val="204"/>
    </font>
    <font>
      <b/>
      <u/>
      <sz val="14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Arial Cyr"/>
      <family val="2"/>
      <charset val="204"/>
    </font>
    <font>
      <b/>
      <sz val="14"/>
      <color indexed="62"/>
      <name val="Times New Roman"/>
      <family val="1"/>
      <charset val="204"/>
    </font>
    <font>
      <b/>
      <i/>
      <sz val="18"/>
      <color indexed="10"/>
      <name val="Arial"/>
      <family val="2"/>
      <charset val="204"/>
    </font>
    <font>
      <sz val="11"/>
      <name val="Arial Cyr"/>
      <family val="2"/>
      <charset val="204"/>
    </font>
    <font>
      <b/>
      <sz val="14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0"/>
      <color indexed="23"/>
      <name val="Times New Roman Cyr"/>
      <family val="1"/>
      <charset val="204"/>
    </font>
    <font>
      <b/>
      <sz val="10"/>
      <color indexed="55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color indexed="18"/>
      <name val="Times New Roman Cyr"/>
      <family val="1"/>
      <charset val="204"/>
    </font>
    <font>
      <b/>
      <sz val="10"/>
      <color indexed="62"/>
      <name val="Times New Roman Cyr"/>
      <family val="1"/>
      <charset val="204"/>
    </font>
    <font>
      <b/>
      <sz val="10"/>
      <color indexed="12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0"/>
      <color indexed="8"/>
      <name val="Times New Roman Cyr"/>
      <family val="1"/>
      <charset val="204"/>
    </font>
    <font>
      <sz val="9"/>
      <name val="Times New Roman Cyr"/>
      <family val="1"/>
      <charset val="204"/>
    </font>
    <font>
      <sz val="10"/>
      <color indexed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10"/>
      <name val="Arial Cyr"/>
      <family val="2"/>
      <charset val="204"/>
    </font>
    <font>
      <sz val="11"/>
      <color indexed="8"/>
      <name val="Arial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2"/>
      <name val="Tahoma"/>
      <family val="2"/>
      <charset val="204"/>
    </font>
    <font>
      <b/>
      <sz val="11"/>
      <name val="Tahoma"/>
      <family val="2"/>
      <charset val="204"/>
    </font>
    <font>
      <b/>
      <i/>
      <sz val="16"/>
      <color indexed="12"/>
      <name val="Tahoma"/>
      <family val="2"/>
      <charset val="204"/>
    </font>
    <font>
      <sz val="10"/>
      <name val="Tahoma"/>
      <family val="2"/>
      <charset val="204"/>
    </font>
    <font>
      <b/>
      <i/>
      <sz val="14"/>
      <color indexed="12"/>
      <name val="Tahoma"/>
      <family val="2"/>
      <charset val="204"/>
    </font>
    <font>
      <sz val="12"/>
      <color indexed="57"/>
      <name val="Tahoma"/>
      <family val="2"/>
      <charset val="204"/>
    </font>
    <font>
      <b/>
      <i/>
      <sz val="12"/>
      <color indexed="12"/>
      <name val="Tahoma"/>
      <family val="2"/>
      <charset val="204"/>
    </font>
    <font>
      <b/>
      <sz val="12"/>
      <name val="Arial Cyr"/>
      <family val="2"/>
      <charset val="204"/>
    </font>
    <font>
      <b/>
      <sz val="11"/>
      <name val="Arial Cyr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color indexed="10"/>
      <name val="Arial Cyr"/>
      <family val="2"/>
      <charset val="204"/>
    </font>
    <font>
      <sz val="12"/>
      <color indexed="12"/>
      <name val="Arial Cyr"/>
      <family val="2"/>
      <charset val="204"/>
    </font>
    <font>
      <sz val="11"/>
      <name val="Tahoma"/>
      <family val="2"/>
      <charset val="204"/>
    </font>
    <font>
      <sz val="12"/>
      <name val="Arial monospaced for SAP"/>
      <family val="3"/>
      <charset val="204"/>
    </font>
    <font>
      <sz val="12"/>
      <color indexed="12"/>
      <name val="Tahoma"/>
      <family val="2"/>
      <charset val="204"/>
    </font>
    <font>
      <b/>
      <sz val="14"/>
      <color indexed="10"/>
      <name val="Tahoma"/>
      <family val="2"/>
      <charset val="204"/>
    </font>
    <font>
      <b/>
      <sz val="10"/>
      <color indexed="12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2"/>
      <color indexed="10"/>
      <name val="Tahoma"/>
      <family val="2"/>
      <charset val="204"/>
    </font>
    <font>
      <b/>
      <sz val="18"/>
      <name val="Tahoma"/>
      <family val="2"/>
      <charset val="204"/>
    </font>
    <font>
      <sz val="12"/>
      <color indexed="51"/>
      <name val="Tahoma"/>
      <family val="2"/>
      <charset val="204"/>
    </font>
    <font>
      <b/>
      <sz val="11"/>
      <color indexed="12"/>
      <name val="Arial Cyr"/>
      <family val="2"/>
      <charset val="204"/>
    </font>
    <font>
      <sz val="12"/>
      <color indexed="10"/>
      <name val="Tahoma"/>
      <family val="2"/>
      <charset val="204"/>
    </font>
    <font>
      <sz val="12"/>
      <color indexed="13"/>
      <name val="Tahoma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vertAlign val="superscript"/>
      <sz val="14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6"/>
      <name val="Times New Roman Cyr"/>
      <family val="1"/>
      <charset val="204"/>
    </font>
    <font>
      <b/>
      <sz val="12"/>
      <color indexed="12"/>
      <name val="Arial Cyr"/>
      <charset val="204"/>
    </font>
    <font>
      <sz val="12"/>
      <name val="Arial Cyr"/>
      <charset val="204"/>
    </font>
    <font>
      <sz val="10"/>
      <name val="Arial"/>
      <family val="2"/>
    </font>
    <font>
      <b/>
      <sz val="11"/>
      <color indexed="12"/>
      <name val="Arial Cyr"/>
      <charset val="204"/>
    </font>
    <font>
      <b/>
      <sz val="10"/>
      <color rgb="FF0000FF"/>
      <name val="Times New Roman Cyr"/>
      <family val="1"/>
      <charset val="204"/>
    </font>
    <font>
      <sz val="10"/>
      <name val="Times New Roman Cyr"/>
      <charset val="204"/>
    </font>
    <font>
      <sz val="10"/>
      <color indexed="12"/>
      <name val="Times New Roman Cyr"/>
      <charset val="204"/>
    </font>
    <font>
      <b/>
      <i/>
      <sz val="8"/>
      <color rgb="FF0000FF"/>
      <name val="Times New Roman Cyr"/>
      <charset val="204"/>
    </font>
    <font>
      <b/>
      <i/>
      <sz val="8"/>
      <color indexed="12"/>
      <name val="Times New Roman Cyr"/>
      <charset val="204"/>
    </font>
    <font>
      <b/>
      <sz val="14"/>
      <color indexed="10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Tahoma"/>
      <family val="2"/>
      <charset val="204"/>
    </font>
    <font>
      <sz val="8"/>
      <name val="Tahoma"/>
      <family val="2"/>
    </font>
    <font>
      <sz val="8"/>
      <name val="Tahoma"/>
      <family val="2"/>
      <charset val="204"/>
    </font>
    <font>
      <b/>
      <sz val="10"/>
      <name val="Arial Cyr"/>
      <charset val="204"/>
    </font>
    <font>
      <b/>
      <sz val="10"/>
      <color indexed="12"/>
      <name val="Arial Cyr"/>
      <charset val="204"/>
    </font>
    <font>
      <b/>
      <sz val="10"/>
      <name val="Arial"/>
      <family val="2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34"/>
      </patternFill>
    </fill>
    <fill>
      <patternFill patternType="solid">
        <fgColor indexed="13"/>
        <bgColor indexed="51"/>
      </patternFill>
    </fill>
    <fill>
      <patternFill patternType="solid">
        <fgColor indexed="47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4"/>
        <bgColor indexed="33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29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medium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hair">
        <color indexed="8"/>
      </left>
      <right/>
      <top/>
      <bottom/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/>
      <diagonal/>
    </border>
    <border>
      <left style="medium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/>
      <right style="medium">
        <color indexed="8"/>
      </right>
      <top style="hair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64"/>
      </bottom>
      <diagonal/>
    </border>
    <border>
      <left/>
      <right style="medium">
        <color indexed="8"/>
      </right>
      <top style="hair">
        <color indexed="64"/>
      </top>
      <bottom style="medium">
        <color indexed="64"/>
      </bottom>
      <diagonal/>
    </border>
    <border>
      <left/>
      <right style="thin">
        <color indexed="8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64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64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/>
      <diagonal/>
    </border>
    <border>
      <left/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hair">
        <color indexed="8"/>
      </bottom>
      <diagonal/>
    </border>
    <border>
      <left style="medium">
        <color indexed="8"/>
      </left>
      <right/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/>
      <diagonal/>
    </border>
  </borders>
  <cellStyleXfs count="1043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08" fillId="0" borderId="0"/>
    <xf numFmtId="0" fontId="2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08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1" fillId="0" borderId="0"/>
    <xf numFmtId="0" fontId="1" fillId="0" borderId="0"/>
    <xf numFmtId="0" fontId="1" fillId="0" borderId="0"/>
    <xf numFmtId="0" fontId="10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7" fillId="2" borderId="0" applyNumberFormat="0" applyBorder="0" applyAlignment="0" applyProtection="0"/>
    <xf numFmtId="0" fontId="87" fillId="3" borderId="0" applyNumberFormat="0" applyBorder="0" applyAlignment="0" applyProtection="0"/>
    <xf numFmtId="0" fontId="87" fillId="4" borderId="0" applyNumberFormat="0" applyBorder="0" applyAlignment="0" applyProtection="0"/>
    <xf numFmtId="0" fontId="87" fillId="5" borderId="0" applyNumberFormat="0" applyBorder="0" applyAlignment="0" applyProtection="0"/>
    <xf numFmtId="0" fontId="87" fillId="6" borderId="0" applyNumberFormat="0" applyBorder="0" applyAlignment="0" applyProtection="0"/>
    <xf numFmtId="0" fontId="87" fillId="7" borderId="0" applyNumberFormat="0" applyBorder="0" applyAlignment="0" applyProtection="0"/>
    <xf numFmtId="0" fontId="87" fillId="8" borderId="0" applyNumberFormat="0" applyBorder="0" applyAlignment="0" applyProtection="0"/>
    <xf numFmtId="0" fontId="87" fillId="9" borderId="0" applyNumberFormat="0" applyBorder="0" applyAlignment="0" applyProtection="0"/>
    <xf numFmtId="0" fontId="87" fillId="10" borderId="0" applyNumberFormat="0" applyBorder="0" applyAlignment="0" applyProtection="0"/>
    <xf numFmtId="0" fontId="87" fillId="5" borderId="0" applyNumberFormat="0" applyBorder="0" applyAlignment="0" applyProtection="0"/>
    <xf numFmtId="0" fontId="87" fillId="8" borderId="0" applyNumberFormat="0" applyBorder="0" applyAlignment="0" applyProtection="0"/>
    <xf numFmtId="0" fontId="87" fillId="11" borderId="0" applyNumberFormat="0" applyBorder="0" applyAlignment="0" applyProtection="0"/>
    <xf numFmtId="0" fontId="88" fillId="12" borderId="0" applyNumberFormat="0" applyBorder="0" applyAlignment="0" applyProtection="0"/>
    <xf numFmtId="0" fontId="88" fillId="9" borderId="0" applyNumberFormat="0" applyBorder="0" applyAlignment="0" applyProtection="0"/>
    <xf numFmtId="0" fontId="88" fillId="10" borderId="0" applyNumberFormat="0" applyBorder="0" applyAlignment="0" applyProtection="0"/>
    <xf numFmtId="0" fontId="88" fillId="13" borderId="0" applyNumberFormat="0" applyBorder="0" applyAlignment="0" applyProtection="0"/>
    <xf numFmtId="0" fontId="88" fillId="14" borderId="0" applyNumberFormat="0" applyBorder="0" applyAlignment="0" applyProtection="0"/>
    <xf numFmtId="0" fontId="88" fillId="15" borderId="0" applyNumberFormat="0" applyBorder="0" applyAlignment="0" applyProtection="0"/>
    <xf numFmtId="0" fontId="89" fillId="0" borderId="0"/>
    <xf numFmtId="0" fontId="88" fillId="16" borderId="0" applyNumberFormat="0" applyBorder="0" applyAlignment="0" applyProtection="0"/>
    <xf numFmtId="0" fontId="88" fillId="17" borderId="0" applyNumberFormat="0" applyBorder="0" applyAlignment="0" applyProtection="0"/>
    <xf numFmtId="0" fontId="88" fillId="18" borderId="0" applyNumberFormat="0" applyBorder="0" applyAlignment="0" applyProtection="0"/>
    <xf numFmtId="0" fontId="88" fillId="13" borderId="0" applyNumberFormat="0" applyBorder="0" applyAlignment="0" applyProtection="0"/>
    <xf numFmtId="0" fontId="88" fillId="14" borderId="0" applyNumberFormat="0" applyBorder="0" applyAlignment="0" applyProtection="0"/>
    <xf numFmtId="0" fontId="88" fillId="19" borderId="0" applyNumberFormat="0" applyBorder="0" applyAlignment="0" applyProtection="0"/>
    <xf numFmtId="0" fontId="90" fillId="7" borderId="1" applyNumberFormat="0" applyAlignment="0" applyProtection="0"/>
    <xf numFmtId="0" fontId="91" fillId="20" borderId="2" applyNumberFormat="0" applyAlignment="0" applyProtection="0"/>
    <xf numFmtId="0" fontId="92" fillId="20" borderId="1" applyNumberFormat="0" applyAlignment="0" applyProtection="0"/>
    <xf numFmtId="0" fontId="93" fillId="0" borderId="3" applyNumberFormat="0" applyFill="0" applyAlignment="0" applyProtection="0"/>
    <xf numFmtId="0" fontId="94" fillId="0" borderId="4" applyNumberFormat="0" applyFill="0" applyAlignment="0" applyProtection="0"/>
    <xf numFmtId="0" fontId="95" fillId="0" borderId="5" applyNumberFormat="0" applyFill="0" applyAlignment="0" applyProtection="0"/>
    <xf numFmtId="0" fontId="95" fillId="0" borderId="0" applyNumberFormat="0" applyFill="0" applyBorder="0" applyAlignment="0" applyProtection="0"/>
    <xf numFmtId="0" fontId="96" fillId="0" borderId="6" applyNumberFormat="0" applyFill="0" applyAlignment="0" applyProtection="0"/>
    <xf numFmtId="0" fontId="97" fillId="21" borderId="7" applyNumberFormat="0" applyAlignment="0" applyProtection="0"/>
    <xf numFmtId="0" fontId="98" fillId="0" borderId="0" applyNumberFormat="0" applyFill="0" applyBorder="0" applyAlignment="0" applyProtection="0"/>
    <xf numFmtId="0" fontId="99" fillId="22" borderId="0" applyNumberFormat="0" applyBorder="0" applyAlignment="0" applyProtection="0"/>
    <xf numFmtId="0" fontId="3" fillId="0" borderId="0"/>
    <xf numFmtId="0" fontId="2" fillId="0" borderId="0"/>
    <xf numFmtId="0" fontId="108" fillId="0" borderId="0"/>
    <xf numFmtId="0" fontId="108" fillId="0" borderId="0"/>
    <xf numFmtId="0" fontId="1" fillId="0" borderId="0"/>
    <xf numFmtId="0" fontId="108" fillId="0" borderId="0"/>
    <xf numFmtId="0" fontId="108" fillId="0" borderId="0"/>
    <xf numFmtId="0" fontId="100" fillId="3" borderId="0" applyNumberFormat="0" applyBorder="0" applyAlignment="0" applyProtection="0"/>
    <xf numFmtId="0" fontId="101" fillId="0" borderId="0" applyNumberFormat="0" applyFill="0" applyBorder="0" applyAlignment="0" applyProtection="0"/>
    <xf numFmtId="0" fontId="85" fillId="23" borderId="8" applyNumberFormat="0" applyFont="0" applyAlignment="0" applyProtection="0"/>
    <xf numFmtId="9" fontId="108" fillId="0" borderId="0" applyFill="0" applyBorder="0" applyAlignment="0" applyProtection="0"/>
    <xf numFmtId="0" fontId="102" fillId="0" borderId="9" applyNumberFormat="0" applyFill="0" applyAlignment="0" applyProtection="0"/>
    <xf numFmtId="0" fontId="1" fillId="0" borderId="0"/>
    <xf numFmtId="0" fontId="103" fillId="0" borderId="0" applyNumberFormat="0" applyFill="0" applyBorder="0" applyAlignment="0" applyProtection="0"/>
    <xf numFmtId="169" fontId="108" fillId="0" borderId="0" applyFill="0" applyBorder="0" applyAlignment="0" applyProtection="0"/>
    <xf numFmtId="164" fontId="108" fillId="0" borderId="0" applyFill="0" applyBorder="0" applyAlignment="0" applyProtection="0"/>
    <xf numFmtId="165" fontId="108" fillId="0" borderId="0" applyFill="0" applyBorder="0" applyAlignment="0" applyProtection="0"/>
    <xf numFmtId="0" fontId="104" fillId="4" borderId="0" applyNumberFormat="0" applyBorder="0" applyAlignment="0" applyProtection="0"/>
  </cellStyleXfs>
  <cellXfs count="2210"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166" fontId="4" fillId="0" borderId="0" xfId="0" applyNumberFormat="1" applyFont="1"/>
    <xf numFmtId="1" fontId="4" fillId="0" borderId="0" xfId="0" applyNumberFormat="1" applyFont="1"/>
    <xf numFmtId="166" fontId="4" fillId="0" borderId="0" xfId="0" applyNumberFormat="1" applyFont="1" applyFill="1"/>
    <xf numFmtId="0" fontId="4" fillId="0" borderId="0" xfId="0" applyFont="1" applyFill="1"/>
    <xf numFmtId="0" fontId="2" fillId="0" borderId="0" xfId="0" applyFont="1"/>
    <xf numFmtId="0" fontId="1" fillId="0" borderId="0" xfId="0" applyFont="1" applyFill="1"/>
    <xf numFmtId="1" fontId="5" fillId="24" borderId="0" xfId="0" applyNumberFormat="1" applyFont="1" applyFill="1" applyAlignment="1">
      <alignment horizontal="center" vertical="center"/>
    </xf>
    <xf numFmtId="0" fontId="6" fillId="24" borderId="0" xfId="1026" applyFont="1" applyFill="1" applyAlignment="1">
      <alignment horizontal="center" vertical="center"/>
    </xf>
    <xf numFmtId="14" fontId="6" fillId="24" borderId="0" xfId="1026" applyNumberFormat="1" applyFont="1" applyFill="1" applyAlignment="1">
      <alignment horizontal="left" vertical="center"/>
    </xf>
    <xf numFmtId="0" fontId="7" fillId="24" borderId="0" xfId="1026" applyFont="1" applyFill="1" applyAlignment="1">
      <alignment horizontal="center" vertical="center"/>
    </xf>
    <xf numFmtId="0" fontId="8" fillId="24" borderId="0" xfId="1026" applyFont="1" applyFill="1" applyAlignment="1">
      <alignment horizontal="center" vertical="center"/>
    </xf>
    <xf numFmtId="166" fontId="8" fillId="24" borderId="0" xfId="1026" applyNumberFormat="1" applyFont="1" applyFill="1" applyAlignment="1">
      <alignment horizontal="center" vertical="center"/>
    </xf>
    <xf numFmtId="166" fontId="8" fillId="24" borderId="0" xfId="1026" applyNumberFormat="1" applyFont="1" applyFill="1" applyBorder="1" applyAlignment="1">
      <alignment horizontal="left" vertical="center"/>
    </xf>
    <xf numFmtId="1" fontId="8" fillId="24" borderId="0" xfId="1026" applyNumberFormat="1" applyFont="1" applyFill="1" applyBorder="1" applyAlignment="1">
      <alignment horizontal="left" vertical="center"/>
    </xf>
    <xf numFmtId="166" fontId="8" fillId="0" borderId="0" xfId="1026" applyNumberFormat="1" applyFont="1" applyFill="1" applyBorder="1" applyAlignment="1">
      <alignment horizontal="left" vertical="center"/>
    </xf>
    <xf numFmtId="14" fontId="8" fillId="24" borderId="0" xfId="1026" applyNumberFormat="1" applyFont="1" applyFill="1" applyBorder="1" applyAlignment="1">
      <alignment horizontal="left" vertical="center"/>
    </xf>
    <xf numFmtId="49" fontId="8" fillId="24" borderId="0" xfId="1026" applyNumberFormat="1" applyFont="1" applyFill="1" applyAlignment="1">
      <alignment horizontal="center" vertical="center"/>
    </xf>
    <xf numFmtId="0" fontId="8" fillId="24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167" fontId="6" fillId="24" borderId="0" xfId="1026" applyNumberFormat="1" applyFont="1" applyFill="1" applyAlignment="1">
      <alignment horizontal="center" vertical="center"/>
    </xf>
    <xf numFmtId="14" fontId="9" fillId="24" borderId="0" xfId="1026" applyNumberFormat="1" applyFont="1" applyFill="1" applyAlignment="1">
      <alignment horizontal="center" vertical="center"/>
    </xf>
    <xf numFmtId="14" fontId="10" fillId="24" borderId="0" xfId="1026" applyNumberFormat="1" applyFont="1" applyFill="1" applyAlignment="1">
      <alignment horizontal="center" vertical="center"/>
    </xf>
    <xf numFmtId="49" fontId="10" fillId="24" borderId="0" xfId="1026" applyNumberFormat="1" applyFont="1" applyFill="1" applyAlignment="1">
      <alignment horizontal="center" vertical="center"/>
    </xf>
    <xf numFmtId="1" fontId="10" fillId="24" borderId="0" xfId="1026" applyNumberFormat="1" applyFont="1" applyFill="1" applyAlignment="1">
      <alignment horizontal="center" vertical="center"/>
    </xf>
    <xf numFmtId="14" fontId="10" fillId="24" borderId="0" xfId="1026" applyNumberFormat="1" applyFont="1" applyFill="1" applyAlignment="1">
      <alignment horizontal="left" vertical="center"/>
    </xf>
    <xf numFmtId="14" fontId="10" fillId="24" borderId="0" xfId="1026" applyNumberFormat="1" applyFont="1" applyFill="1" applyBorder="1" applyAlignment="1">
      <alignment horizontal="center" vertical="center"/>
    </xf>
    <xf numFmtId="166" fontId="8" fillId="24" borderId="0" xfId="1026" applyNumberFormat="1" applyFont="1" applyFill="1" applyBorder="1" applyAlignment="1">
      <alignment horizontal="center" vertical="center"/>
    </xf>
    <xf numFmtId="1" fontId="8" fillId="24" borderId="0" xfId="1026" applyNumberFormat="1" applyFont="1" applyFill="1" applyBorder="1" applyAlignment="1">
      <alignment horizontal="center" vertical="center"/>
    </xf>
    <xf numFmtId="166" fontId="8" fillId="0" borderId="0" xfId="1026" applyNumberFormat="1" applyFont="1" applyFill="1" applyBorder="1" applyAlignment="1">
      <alignment horizontal="center" vertical="center"/>
    </xf>
    <xf numFmtId="49" fontId="8" fillId="24" borderId="0" xfId="1026" applyNumberFormat="1" applyFont="1" applyFill="1" applyBorder="1" applyAlignment="1">
      <alignment horizontal="center" vertical="center"/>
    </xf>
    <xf numFmtId="0" fontId="14" fillId="25" borderId="10" xfId="0" applyFont="1" applyFill="1" applyBorder="1" applyAlignment="1">
      <alignment horizontal="center" vertical="center" wrapText="1"/>
    </xf>
    <xf numFmtId="0" fontId="13" fillId="25" borderId="11" xfId="0" applyFont="1" applyFill="1" applyBorder="1" applyAlignment="1">
      <alignment horizontal="center" vertical="center" wrapText="1"/>
    </xf>
    <xf numFmtId="0" fontId="19" fillId="25" borderId="11" xfId="1026" applyFont="1" applyFill="1" applyBorder="1" applyAlignment="1">
      <alignment horizontal="center" vertical="center" wrapText="1"/>
    </xf>
    <xf numFmtId="0" fontId="20" fillId="0" borderId="0" xfId="0" applyFont="1" applyFill="1"/>
    <xf numFmtId="0" fontId="13" fillId="25" borderId="13" xfId="0" applyFont="1" applyFill="1" applyBorder="1" applyAlignment="1">
      <alignment horizontal="center" vertical="center" wrapText="1"/>
    </xf>
    <xf numFmtId="0" fontId="13" fillId="25" borderId="14" xfId="0" applyFont="1" applyFill="1" applyBorder="1" applyAlignment="1">
      <alignment horizontal="center" vertical="center" wrapText="1"/>
    </xf>
    <xf numFmtId="0" fontId="19" fillId="25" borderId="14" xfId="1026" applyFont="1" applyFill="1" applyBorder="1" applyAlignment="1">
      <alignment horizontal="center" vertical="center" wrapText="1"/>
    </xf>
    <xf numFmtId="0" fontId="1" fillId="25" borderId="15" xfId="1029" applyFont="1" applyFill="1" applyBorder="1" applyAlignment="1">
      <alignment horizontal="center" vertical="center" wrapText="1"/>
    </xf>
    <xf numFmtId="0" fontId="1" fillId="25" borderId="11" xfId="1029" applyFont="1" applyFill="1" applyBorder="1" applyAlignment="1">
      <alignment horizontal="center" vertical="center" wrapText="1"/>
    </xf>
    <xf numFmtId="0" fontId="1" fillId="25" borderId="16" xfId="1029" applyFont="1" applyFill="1" applyBorder="1" applyAlignment="1">
      <alignment horizontal="center" vertical="center" wrapText="1"/>
    </xf>
    <xf numFmtId="0" fontId="23" fillId="0" borderId="17" xfId="1026" applyFont="1" applyFill="1" applyBorder="1" applyAlignment="1">
      <alignment horizontal="center" vertical="center" wrapText="1"/>
    </xf>
    <xf numFmtId="0" fontId="23" fillId="0" borderId="17" xfId="1026" applyFont="1" applyFill="1" applyBorder="1" applyAlignment="1">
      <alignment vertical="center" wrapText="1"/>
    </xf>
    <xf numFmtId="0" fontId="23" fillId="0" borderId="15" xfId="1026" applyFont="1" applyFill="1" applyBorder="1" applyAlignment="1">
      <alignment vertical="center" wrapText="1"/>
    </xf>
    <xf numFmtId="0" fontId="23" fillId="0" borderId="17" xfId="1026" applyFont="1" applyFill="1" applyBorder="1" applyAlignment="1">
      <alignment horizontal="left" vertical="center" wrapText="1"/>
    </xf>
    <xf numFmtId="0" fontId="1" fillId="0" borderId="18" xfId="0" applyFont="1" applyBorder="1"/>
    <xf numFmtId="0" fontId="21" fillId="0" borderId="20" xfId="0" applyFont="1" applyFill="1" applyBorder="1" applyAlignment="1">
      <alignment vertical="center" wrapText="1"/>
    </xf>
    <xf numFmtId="1" fontId="21" fillId="0" borderId="21" xfId="0" applyNumberFormat="1" applyFont="1" applyFill="1" applyBorder="1" applyAlignment="1">
      <alignment horizontal="center" vertical="center" wrapText="1"/>
    </xf>
    <xf numFmtId="1" fontId="21" fillId="0" borderId="19" xfId="0" applyNumberFormat="1" applyFont="1" applyFill="1" applyBorder="1" applyAlignment="1">
      <alignment horizontal="center" vertical="center" wrapText="1"/>
    </xf>
    <xf numFmtId="1" fontId="21" fillId="0" borderId="20" xfId="0" applyNumberFormat="1" applyFont="1" applyFill="1" applyBorder="1" applyAlignment="1">
      <alignment horizontal="center" vertical="center" wrapText="1"/>
    </xf>
    <xf numFmtId="0" fontId="1" fillId="0" borderId="22" xfId="0" applyFont="1" applyBorder="1"/>
    <xf numFmtId="0" fontId="1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14" fontId="21" fillId="0" borderId="17" xfId="0" applyNumberFormat="1" applyFont="1" applyFill="1" applyBorder="1" applyAlignment="1">
      <alignment horizontal="center" vertical="center" wrapText="1"/>
    </xf>
    <xf numFmtId="14" fontId="24" fillId="0" borderId="17" xfId="0" applyNumberFormat="1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center"/>
    </xf>
    <xf numFmtId="1" fontId="14" fillId="0" borderId="23" xfId="1040" applyNumberFormat="1" applyFont="1" applyFill="1" applyBorder="1" applyAlignment="1" applyProtection="1">
      <alignment horizontal="center" vertical="center"/>
    </xf>
    <xf numFmtId="0" fontId="14" fillId="0" borderId="24" xfId="0" applyNumberFormat="1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left" vertical="center" wrapText="1"/>
    </xf>
    <xf numFmtId="0" fontId="14" fillId="0" borderId="25" xfId="0" applyFont="1" applyFill="1" applyBorder="1" applyAlignment="1">
      <alignment horizontal="left" vertical="center"/>
    </xf>
    <xf numFmtId="1" fontId="14" fillId="0" borderId="25" xfId="1026" applyNumberFormat="1" applyFont="1" applyFill="1" applyBorder="1" applyAlignment="1">
      <alignment horizontal="center" vertical="center"/>
    </xf>
    <xf numFmtId="1" fontId="14" fillId="0" borderId="24" xfId="1026" applyNumberFormat="1" applyFont="1" applyFill="1" applyBorder="1" applyAlignment="1">
      <alignment horizontal="center" vertical="center"/>
    </xf>
    <xf numFmtId="1" fontId="14" fillId="0" borderId="25" xfId="1026" applyNumberFormat="1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1" fontId="14" fillId="0" borderId="24" xfId="0" applyNumberFormat="1" applyFont="1" applyFill="1" applyBorder="1" applyAlignment="1">
      <alignment horizontal="center" vertical="center" wrapText="1"/>
    </xf>
    <xf numFmtId="1" fontId="14" fillId="0" borderId="24" xfId="0" applyNumberFormat="1" applyFont="1" applyFill="1" applyBorder="1" applyAlignment="1">
      <alignment horizontal="center" vertical="center"/>
    </xf>
    <xf numFmtId="168" fontId="26" fillId="0" borderId="25" xfId="1026" applyNumberFormat="1" applyFont="1" applyFill="1" applyBorder="1" applyAlignment="1">
      <alignment horizontal="center" vertical="center"/>
    </xf>
    <xf numFmtId="0" fontId="14" fillId="0" borderId="24" xfId="1026" applyFont="1" applyFill="1" applyBorder="1" applyAlignment="1">
      <alignment horizontal="center" vertical="center"/>
    </xf>
    <xf numFmtId="0" fontId="14" fillId="0" borderId="25" xfId="1026" applyFont="1" applyFill="1" applyBorder="1" applyAlignment="1">
      <alignment horizontal="center" vertical="center"/>
    </xf>
    <xf numFmtId="0" fontId="14" fillId="0" borderId="26" xfId="1026" applyFont="1" applyFill="1" applyBorder="1" applyAlignment="1">
      <alignment horizontal="center" vertical="center"/>
    </xf>
    <xf numFmtId="166" fontId="14" fillId="0" borderId="28" xfId="1040" applyNumberFormat="1" applyFont="1" applyFill="1" applyBorder="1" applyAlignment="1" applyProtection="1">
      <alignment horizontal="center" vertical="center" wrapText="1"/>
    </xf>
    <xf numFmtId="1" fontId="14" fillId="0" borderId="25" xfId="1040" applyNumberFormat="1" applyFont="1" applyFill="1" applyBorder="1" applyAlignment="1" applyProtection="1">
      <alignment horizontal="center" vertical="center"/>
    </xf>
    <xf numFmtId="1" fontId="14" fillId="0" borderId="27" xfId="1040" applyNumberFormat="1" applyFont="1" applyFill="1" applyBorder="1" applyAlignment="1" applyProtection="1">
      <alignment horizontal="center" vertical="center"/>
    </xf>
    <xf numFmtId="166" fontId="14" fillId="0" borderId="23" xfId="1040" applyNumberFormat="1" applyFont="1" applyFill="1" applyBorder="1" applyAlignment="1" applyProtection="1">
      <alignment horizontal="center" vertical="center"/>
    </xf>
    <xf numFmtId="166" fontId="14" fillId="0" borderId="25" xfId="1040" applyNumberFormat="1" applyFont="1" applyFill="1" applyBorder="1" applyAlignment="1" applyProtection="1">
      <alignment horizontal="center" vertical="center"/>
    </xf>
    <xf numFmtId="1" fontId="14" fillId="0" borderId="28" xfId="1040" applyNumberFormat="1" applyFont="1" applyFill="1" applyBorder="1" applyAlignment="1" applyProtection="1">
      <alignment horizontal="center" vertical="center"/>
    </xf>
    <xf numFmtId="168" fontId="26" fillId="0" borderId="24" xfId="1025" applyNumberFormat="1" applyFont="1" applyFill="1" applyBorder="1" applyAlignment="1">
      <alignment horizontal="center" vertical="center"/>
    </xf>
    <xf numFmtId="1" fontId="14" fillId="0" borderId="24" xfId="1026" applyNumberFormat="1" applyFont="1" applyFill="1" applyBorder="1" applyAlignment="1">
      <alignment horizontal="center" vertical="center" wrapText="1"/>
    </xf>
    <xf numFmtId="1" fontId="14" fillId="0" borderId="24" xfId="1040" applyNumberFormat="1" applyFont="1" applyFill="1" applyBorder="1" applyAlignment="1" applyProtection="1">
      <alignment horizontal="center" vertical="center"/>
    </xf>
    <xf numFmtId="1" fontId="14" fillId="0" borderId="29" xfId="1026" applyNumberFormat="1" applyFont="1" applyFill="1" applyBorder="1" applyAlignment="1">
      <alignment horizontal="center" vertical="center" wrapText="1"/>
    </xf>
    <xf numFmtId="49" fontId="14" fillId="0" borderId="30" xfId="1026" applyNumberFormat="1" applyFont="1" applyFill="1" applyBorder="1" applyAlignment="1">
      <alignment horizontal="center" vertical="center" wrapText="1"/>
    </xf>
    <xf numFmtId="1" fontId="14" fillId="0" borderId="31" xfId="1026" applyNumberFormat="1" applyFont="1" applyFill="1" applyBorder="1" applyAlignment="1">
      <alignment horizontal="center" vertical="center"/>
    </xf>
    <xf numFmtId="168" fontId="14" fillId="0" borderId="25" xfId="1026" applyNumberFormat="1" applyFont="1" applyFill="1" applyBorder="1" applyAlignment="1">
      <alignment horizontal="center" vertical="center"/>
    </xf>
    <xf numFmtId="9" fontId="14" fillId="0" borderId="32" xfId="0" applyNumberFormat="1" applyFont="1" applyFill="1" applyBorder="1" applyAlignment="1">
      <alignment horizontal="center" vertical="center" wrapText="1"/>
    </xf>
    <xf numFmtId="1" fontId="14" fillId="0" borderId="33" xfId="1026" applyNumberFormat="1" applyFont="1" applyFill="1" applyBorder="1" applyAlignment="1">
      <alignment horizontal="center" vertical="center"/>
    </xf>
    <xf numFmtId="1" fontId="27" fillId="0" borderId="34" xfId="1040" applyNumberFormat="1" applyFont="1" applyFill="1" applyBorder="1" applyAlignment="1" applyProtection="1">
      <alignment horizontal="left" vertical="center" wrapText="1"/>
    </xf>
    <xf numFmtId="1" fontId="14" fillId="0" borderId="34" xfId="1040" applyNumberFormat="1" applyFont="1" applyFill="1" applyBorder="1" applyAlignment="1" applyProtection="1">
      <alignment horizontal="center" vertical="center" wrapText="1"/>
    </xf>
    <xf numFmtId="168" fontId="27" fillId="0" borderId="30" xfId="1026" applyNumberFormat="1" applyFont="1" applyFill="1" applyBorder="1" applyAlignment="1">
      <alignment horizontal="center" vertical="center" wrapText="1"/>
    </xf>
    <xf numFmtId="1" fontId="14" fillId="0" borderId="30" xfId="1026" applyNumberFormat="1" applyFont="1" applyFill="1" applyBorder="1" applyAlignment="1">
      <alignment horizontal="center" vertical="center"/>
    </xf>
    <xf numFmtId="168" fontId="26" fillId="0" borderId="30" xfId="1026" applyNumberFormat="1" applyFont="1" applyFill="1" applyBorder="1" applyAlignment="1">
      <alignment horizontal="center" vertical="center"/>
    </xf>
    <xf numFmtId="168" fontId="14" fillId="0" borderId="30" xfId="1026" applyNumberFormat="1" applyFont="1" applyFill="1" applyBorder="1" applyAlignment="1">
      <alignment horizontal="center" vertical="center"/>
    </xf>
    <xf numFmtId="1" fontId="14" fillId="0" borderId="35" xfId="1026" applyNumberFormat="1" applyFont="1" applyFill="1" applyBorder="1" applyAlignment="1">
      <alignment horizontal="center" vertical="center"/>
    </xf>
    <xf numFmtId="1" fontId="14" fillId="0" borderId="36" xfId="1026" applyNumberFormat="1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8" xfId="0" applyFont="1" applyFill="1" applyBorder="1" applyAlignment="1">
      <alignment horizontal="center" vertical="center"/>
    </xf>
    <xf numFmtId="168" fontId="12" fillId="0" borderId="38" xfId="0" applyNumberFormat="1" applyFont="1" applyFill="1" applyBorder="1" applyAlignment="1">
      <alignment horizontal="center" vertical="center"/>
    </xf>
    <xf numFmtId="0" fontId="12" fillId="0" borderId="39" xfId="0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horizontal="center" vertical="center"/>
    </xf>
    <xf numFmtId="166" fontId="14" fillId="0" borderId="41" xfId="1040" applyNumberFormat="1" applyFont="1" applyFill="1" applyBorder="1" applyAlignment="1" applyProtection="1">
      <alignment horizontal="center" vertical="center"/>
    </xf>
    <xf numFmtId="166" fontId="14" fillId="0" borderId="11" xfId="1040" applyNumberFormat="1" applyFont="1" applyFill="1" applyBorder="1" applyAlignment="1" applyProtection="1">
      <alignment horizontal="center" vertical="center"/>
    </xf>
    <xf numFmtId="1" fontId="14" fillId="0" borderId="11" xfId="1026" applyNumberFormat="1" applyFont="1" applyFill="1" applyBorder="1" applyAlignment="1">
      <alignment horizontal="center" vertical="center" wrapText="1"/>
    </xf>
    <xf numFmtId="168" fontId="14" fillId="0" borderId="11" xfId="1026" applyNumberFormat="1" applyFont="1" applyFill="1" applyBorder="1" applyAlignment="1">
      <alignment horizontal="center" vertical="center"/>
    </xf>
    <xf numFmtId="1" fontId="14" fillId="0" borderId="16" xfId="1026" applyNumberFormat="1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1" fontId="12" fillId="0" borderId="11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1" fontId="12" fillId="0" borderId="18" xfId="0" applyNumberFormat="1" applyFont="1" applyFill="1" applyBorder="1" applyAlignment="1">
      <alignment horizontal="center" vertical="center" wrapText="1"/>
    </xf>
    <xf numFmtId="49" fontId="14" fillId="0" borderId="42" xfId="1026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/>
    <xf numFmtId="1" fontId="14" fillId="0" borderId="25" xfId="0" applyNumberFormat="1" applyFont="1" applyFill="1" applyBorder="1" applyAlignment="1">
      <alignment horizontal="center" vertical="center" wrapText="1"/>
    </xf>
    <xf numFmtId="168" fontId="26" fillId="0" borderId="25" xfId="1026" applyNumberFormat="1" applyFont="1" applyFill="1" applyBorder="1" applyAlignment="1">
      <alignment horizontal="center" vertical="center" wrapText="1"/>
    </xf>
    <xf numFmtId="166" fontId="28" fillId="0" borderId="23" xfId="1040" applyNumberFormat="1" applyFont="1" applyFill="1" applyBorder="1" applyAlignment="1" applyProtection="1">
      <alignment horizontal="center" vertical="center"/>
    </xf>
    <xf numFmtId="1" fontId="28" fillId="0" borderId="25" xfId="1040" applyNumberFormat="1" applyFont="1" applyFill="1" applyBorder="1" applyAlignment="1" applyProtection="1">
      <alignment horizontal="center" vertical="center"/>
    </xf>
    <xf numFmtId="1" fontId="28" fillId="0" borderId="27" xfId="1040" applyNumberFormat="1" applyFont="1" applyFill="1" applyBorder="1" applyAlignment="1" applyProtection="1">
      <alignment horizontal="center" vertical="center"/>
    </xf>
    <xf numFmtId="1" fontId="29" fillId="0" borderId="25" xfId="1040" applyNumberFormat="1" applyFont="1" applyFill="1" applyBorder="1" applyAlignment="1" applyProtection="1">
      <alignment horizontal="center" vertical="center"/>
    </xf>
    <xf numFmtId="1" fontId="29" fillId="0" borderId="24" xfId="0" applyNumberFormat="1" applyFont="1" applyFill="1" applyBorder="1" applyAlignment="1">
      <alignment horizontal="center" vertical="center" wrapText="1"/>
    </xf>
    <xf numFmtId="1" fontId="29" fillId="0" borderId="24" xfId="1026" applyNumberFormat="1" applyFont="1" applyFill="1" applyBorder="1" applyAlignment="1">
      <alignment horizontal="center" vertical="center" wrapText="1"/>
    </xf>
    <xf numFmtId="1" fontId="29" fillId="0" borderId="24" xfId="0" applyNumberFormat="1" applyFont="1" applyFill="1" applyBorder="1" applyAlignment="1">
      <alignment horizontal="center" vertical="center"/>
    </xf>
    <xf numFmtId="1" fontId="29" fillId="0" borderId="24" xfId="1040" applyNumberFormat="1" applyFont="1" applyFill="1" applyBorder="1" applyAlignment="1" applyProtection="1">
      <alignment horizontal="center" vertical="center"/>
    </xf>
    <xf numFmtId="0" fontId="29" fillId="0" borderId="29" xfId="1026" applyFont="1" applyFill="1" applyBorder="1" applyAlignment="1">
      <alignment horizontal="center" vertical="center" wrapText="1"/>
    </xf>
    <xf numFmtId="1" fontId="14" fillId="0" borderId="14" xfId="1026" applyNumberFormat="1" applyFont="1" applyFill="1" applyBorder="1" applyAlignment="1">
      <alignment horizontal="center" vertical="center"/>
    </xf>
    <xf numFmtId="1" fontId="29" fillId="0" borderId="30" xfId="1026" applyNumberFormat="1" applyFont="1" applyFill="1" applyBorder="1" applyAlignment="1">
      <alignment horizontal="center" vertical="center"/>
    </xf>
    <xf numFmtId="1" fontId="14" fillId="0" borderId="11" xfId="1026" applyNumberFormat="1" applyFont="1" applyFill="1" applyBorder="1" applyAlignment="1">
      <alignment horizontal="center" vertical="center"/>
    </xf>
    <xf numFmtId="168" fontId="27" fillId="0" borderId="43" xfId="1026" applyNumberFormat="1" applyFont="1" applyFill="1" applyBorder="1" applyAlignment="1">
      <alignment horizontal="center" vertical="center" wrapText="1"/>
    </xf>
    <xf numFmtId="1" fontId="29" fillId="0" borderId="43" xfId="1026" applyNumberFormat="1" applyFont="1" applyFill="1" applyBorder="1" applyAlignment="1">
      <alignment horizontal="center" vertical="center"/>
    </xf>
    <xf numFmtId="1" fontId="14" fillId="0" borderId="43" xfId="1026" applyNumberFormat="1" applyFont="1" applyFill="1" applyBorder="1" applyAlignment="1">
      <alignment horizontal="center" vertical="center"/>
    </xf>
    <xf numFmtId="168" fontId="14" fillId="0" borderId="43" xfId="1026" applyNumberFormat="1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68" fontId="12" fillId="0" borderId="0" xfId="0" applyNumberFormat="1" applyFont="1" applyFill="1" applyBorder="1" applyAlignment="1">
      <alignment horizontal="center" vertical="center"/>
    </xf>
    <xf numFmtId="166" fontId="14" fillId="0" borderId="15" xfId="1040" applyNumberFormat="1" applyFont="1" applyFill="1" applyBorder="1" applyAlignment="1" applyProtection="1">
      <alignment horizontal="center" vertical="center"/>
    </xf>
    <xf numFmtId="49" fontId="14" fillId="0" borderId="27" xfId="1026" applyNumberFormat="1" applyFont="1" applyFill="1" applyBorder="1" applyAlignment="1">
      <alignment horizontal="center" vertical="center" wrapText="1"/>
    </xf>
    <xf numFmtId="166" fontId="14" fillId="0" borderId="24" xfId="1040" applyNumberFormat="1" applyFont="1" applyFill="1" applyBorder="1" applyAlignment="1" applyProtection="1">
      <alignment horizontal="center" vertical="center" wrapText="1"/>
    </xf>
    <xf numFmtId="166" fontId="29" fillId="0" borderId="25" xfId="1040" applyNumberFormat="1" applyFont="1" applyFill="1" applyBorder="1" applyAlignment="1" applyProtection="1">
      <alignment horizontal="center" vertical="center"/>
    </xf>
    <xf numFmtId="1" fontId="29" fillId="0" borderId="27" xfId="1040" applyNumberFormat="1" applyFont="1" applyFill="1" applyBorder="1" applyAlignment="1" applyProtection="1">
      <alignment horizontal="center" vertical="center"/>
    </xf>
    <xf numFmtId="0" fontId="14" fillId="0" borderId="29" xfId="1026" applyFont="1" applyFill="1" applyBorder="1" applyAlignment="1">
      <alignment horizontal="center" vertical="center" wrapText="1"/>
    </xf>
    <xf numFmtId="1" fontId="14" fillId="0" borderId="27" xfId="1026" applyNumberFormat="1" applyFont="1" applyFill="1" applyBorder="1" applyAlignment="1">
      <alignment horizontal="center" vertical="center"/>
    </xf>
    <xf numFmtId="1" fontId="27" fillId="0" borderId="35" xfId="1040" applyNumberFormat="1" applyFont="1" applyFill="1" applyBorder="1" applyAlignment="1" applyProtection="1">
      <alignment horizontal="left" vertical="center" wrapText="1"/>
    </xf>
    <xf numFmtId="0" fontId="30" fillId="0" borderId="44" xfId="0" applyFont="1" applyFill="1" applyBorder="1" applyAlignment="1">
      <alignment horizontal="left" vertical="center" wrapText="1"/>
    </xf>
    <xf numFmtId="1" fontId="29" fillId="0" borderId="44" xfId="1026" applyNumberFormat="1" applyFont="1" applyFill="1" applyBorder="1" applyAlignment="1">
      <alignment horizontal="center" vertical="center"/>
    </xf>
    <xf numFmtId="1" fontId="14" fillId="0" borderId="44" xfId="1026" applyNumberFormat="1" applyFont="1" applyFill="1" applyBorder="1" applyAlignment="1">
      <alignment horizontal="center" vertical="center"/>
    </xf>
    <xf numFmtId="168" fontId="29" fillId="0" borderId="44" xfId="1026" applyNumberFormat="1" applyFont="1" applyFill="1" applyBorder="1" applyAlignment="1">
      <alignment horizontal="center" vertical="center"/>
    </xf>
    <xf numFmtId="168" fontId="14" fillId="0" borderId="44" xfId="1026" applyNumberFormat="1" applyFont="1" applyFill="1" applyBorder="1" applyAlignment="1">
      <alignment horizontal="center" vertical="center"/>
    </xf>
    <xf numFmtId="1" fontId="14" fillId="0" borderId="45" xfId="1026" applyNumberFormat="1" applyFont="1" applyFill="1" applyBorder="1" applyAlignment="1">
      <alignment horizontal="center" vertical="center"/>
    </xf>
    <xf numFmtId="1" fontId="14" fillId="0" borderId="46" xfId="1026" applyNumberFormat="1" applyFont="1" applyFill="1" applyBorder="1" applyAlignment="1">
      <alignment horizontal="center" vertical="center"/>
    </xf>
    <xf numFmtId="1" fontId="14" fillId="26" borderId="47" xfId="1026" applyNumberFormat="1" applyFont="1" applyFill="1" applyBorder="1" applyAlignment="1">
      <alignment horizontal="center" vertical="center" wrapText="1"/>
    </xf>
    <xf numFmtId="1" fontId="14" fillId="26" borderId="47" xfId="1026" applyNumberFormat="1" applyFont="1" applyFill="1" applyBorder="1" applyAlignment="1">
      <alignment horizontal="center" vertical="center"/>
    </xf>
    <xf numFmtId="0" fontId="14" fillId="26" borderId="48" xfId="1026" applyFont="1" applyFill="1" applyBorder="1" applyAlignment="1">
      <alignment horizontal="center" vertical="center"/>
    </xf>
    <xf numFmtId="0" fontId="14" fillId="26" borderId="17" xfId="1026" applyFont="1" applyFill="1" applyBorder="1" applyAlignment="1">
      <alignment horizontal="center" vertical="center"/>
    </xf>
    <xf numFmtId="1" fontId="14" fillId="26" borderId="49" xfId="1026" applyNumberFormat="1" applyFont="1" applyFill="1" applyBorder="1" applyAlignment="1">
      <alignment horizontal="center" vertical="center"/>
    </xf>
    <xf numFmtId="1" fontId="26" fillId="26" borderId="49" xfId="1026" applyNumberFormat="1" applyFont="1" applyFill="1" applyBorder="1" applyAlignment="1">
      <alignment horizontal="center" vertical="center"/>
    </xf>
    <xf numFmtId="166" fontId="14" fillId="26" borderId="47" xfId="1026" applyNumberFormat="1" applyFont="1" applyFill="1" applyBorder="1" applyAlignment="1">
      <alignment horizontal="center" vertical="center"/>
    </xf>
    <xf numFmtId="166" fontId="14" fillId="26" borderId="17" xfId="1026" applyNumberFormat="1" applyFont="1" applyFill="1" applyBorder="1" applyAlignment="1">
      <alignment horizontal="center" vertical="center"/>
    </xf>
    <xf numFmtId="166" fontId="14" fillId="26" borderId="49" xfId="1026" applyNumberFormat="1" applyFont="1" applyFill="1" applyBorder="1" applyAlignment="1">
      <alignment horizontal="center" vertical="center"/>
    </xf>
    <xf numFmtId="1" fontId="14" fillId="26" borderId="50" xfId="1026" applyNumberFormat="1" applyFont="1" applyFill="1" applyBorder="1" applyAlignment="1">
      <alignment horizontal="center" vertical="center"/>
    </xf>
    <xf numFmtId="1" fontId="14" fillId="26" borderId="51" xfId="1026" applyNumberFormat="1" applyFont="1" applyFill="1" applyBorder="1" applyAlignment="1">
      <alignment horizontal="center" vertical="center"/>
    </xf>
    <xf numFmtId="0" fontId="14" fillId="26" borderId="49" xfId="1026" applyFont="1" applyFill="1" applyBorder="1" applyAlignment="1">
      <alignment horizontal="center" vertical="center"/>
    </xf>
    <xf numFmtId="168" fontId="14" fillId="26" borderId="49" xfId="1026" applyNumberFormat="1" applyFont="1" applyFill="1" applyBorder="1" applyAlignment="1">
      <alignment horizontal="center" vertical="center"/>
    </xf>
    <xf numFmtId="168" fontId="14" fillId="26" borderId="17" xfId="1026" applyNumberFormat="1" applyFont="1" applyFill="1" applyBorder="1" applyAlignment="1">
      <alignment horizontal="center" vertical="center"/>
    </xf>
    <xf numFmtId="1" fontId="14" fillId="26" borderId="17" xfId="1026" applyNumberFormat="1" applyFont="1" applyFill="1" applyBorder="1" applyAlignment="1">
      <alignment horizontal="center" vertical="center"/>
    </xf>
    <xf numFmtId="1" fontId="14" fillId="26" borderId="11" xfId="1026" applyNumberFormat="1" applyFont="1" applyFill="1" applyBorder="1" applyAlignment="1">
      <alignment horizontal="center" vertical="center"/>
    </xf>
    <xf numFmtId="9" fontId="14" fillId="26" borderId="47" xfId="1026" applyNumberFormat="1" applyFont="1" applyFill="1" applyBorder="1" applyAlignment="1">
      <alignment horizontal="center" vertical="center"/>
    </xf>
    <xf numFmtId="168" fontId="14" fillId="26" borderId="11" xfId="1026" applyNumberFormat="1" applyFont="1" applyFill="1" applyBorder="1" applyAlignment="1">
      <alignment horizontal="center" vertical="center"/>
    </xf>
    <xf numFmtId="168" fontId="14" fillId="26" borderId="15" xfId="1026" applyNumberFormat="1" applyFont="1" applyFill="1" applyBorder="1" applyAlignment="1">
      <alignment horizontal="center" vertical="center"/>
    </xf>
    <xf numFmtId="1" fontId="14" fillId="26" borderId="15" xfId="1026" applyNumberFormat="1" applyFont="1" applyFill="1" applyBorder="1" applyAlignment="1">
      <alignment horizontal="center" vertical="center"/>
    </xf>
    <xf numFmtId="0" fontId="12" fillId="26" borderId="37" xfId="0" applyFont="1" applyFill="1" applyBorder="1" applyAlignment="1">
      <alignment horizontal="center" vertical="center"/>
    </xf>
    <xf numFmtId="0" fontId="12" fillId="26" borderId="38" xfId="0" applyFont="1" applyFill="1" applyBorder="1" applyAlignment="1">
      <alignment horizontal="center" vertical="center"/>
    </xf>
    <xf numFmtId="0" fontId="12" fillId="26" borderId="40" xfId="0" applyFont="1" applyFill="1" applyBorder="1" applyAlignment="1">
      <alignment horizontal="center" vertical="center"/>
    </xf>
    <xf numFmtId="0" fontId="1" fillId="26" borderId="41" xfId="0" applyFont="1" applyFill="1" applyBorder="1"/>
    <xf numFmtId="0" fontId="1" fillId="26" borderId="52" xfId="0" applyFont="1" applyFill="1" applyBorder="1"/>
    <xf numFmtId="3" fontId="12" fillId="26" borderId="11" xfId="0" applyNumberFormat="1" applyFont="1" applyFill="1" applyBorder="1" applyAlignment="1">
      <alignment horizontal="center"/>
    </xf>
    <xf numFmtId="3" fontId="12" fillId="26" borderId="16" xfId="0" applyNumberFormat="1" applyFont="1" applyFill="1" applyBorder="1" applyAlignment="1">
      <alignment horizontal="center"/>
    </xf>
    <xf numFmtId="0" fontId="12" fillId="26" borderId="41" xfId="0" applyFont="1" applyFill="1" applyBorder="1"/>
    <xf numFmtId="0" fontId="1" fillId="26" borderId="11" xfId="0" applyFont="1" applyFill="1" applyBorder="1"/>
    <xf numFmtId="0" fontId="1" fillId="26" borderId="18" xfId="0" applyFont="1" applyFill="1" applyBorder="1"/>
    <xf numFmtId="0" fontId="14" fillId="26" borderId="53" xfId="1026" applyFont="1" applyFill="1" applyBorder="1" applyAlignment="1">
      <alignment horizontal="center" vertical="center"/>
    </xf>
    <xf numFmtId="0" fontId="14" fillId="25" borderId="47" xfId="1026" applyFont="1" applyFill="1" applyBorder="1" applyAlignment="1">
      <alignment horizontal="center" vertical="center" wrapText="1"/>
    </xf>
    <xf numFmtId="0" fontId="14" fillId="25" borderId="47" xfId="1026" applyFont="1" applyFill="1" applyBorder="1" applyAlignment="1">
      <alignment horizontal="center" vertical="center"/>
    </xf>
    <xf numFmtId="0" fontId="14" fillId="25" borderId="48" xfId="1026" applyFont="1" applyFill="1" applyBorder="1" applyAlignment="1">
      <alignment horizontal="center" vertical="center"/>
    </xf>
    <xf numFmtId="0" fontId="14" fillId="25" borderId="17" xfId="1026" applyFont="1" applyFill="1" applyBorder="1" applyAlignment="1">
      <alignment horizontal="center" vertical="center"/>
    </xf>
    <xf numFmtId="2" fontId="14" fillId="25" borderId="17" xfId="1026" applyNumberFormat="1" applyFont="1" applyFill="1" applyBorder="1" applyAlignment="1">
      <alignment horizontal="center" vertical="center"/>
    </xf>
    <xf numFmtId="1" fontId="14" fillId="25" borderId="17" xfId="1026" applyNumberFormat="1" applyFont="1" applyFill="1" applyBorder="1" applyAlignment="1">
      <alignment horizontal="center" vertical="center"/>
    </xf>
    <xf numFmtId="1" fontId="14" fillId="25" borderId="49" xfId="1026" applyNumberFormat="1" applyFont="1" applyFill="1" applyBorder="1" applyAlignment="1">
      <alignment horizontal="center" vertical="center"/>
    </xf>
    <xf numFmtId="166" fontId="14" fillId="25" borderId="17" xfId="1026" applyNumberFormat="1" applyFont="1" applyFill="1" applyBorder="1" applyAlignment="1">
      <alignment horizontal="center" vertical="center"/>
    </xf>
    <xf numFmtId="168" fontId="14" fillId="25" borderId="17" xfId="1026" applyNumberFormat="1" applyFont="1" applyFill="1" applyBorder="1" applyAlignment="1">
      <alignment horizontal="center" vertical="center"/>
    </xf>
    <xf numFmtId="1" fontId="14" fillId="25" borderId="11" xfId="1026" applyNumberFormat="1" applyFont="1" applyFill="1" applyBorder="1" applyAlignment="1">
      <alignment horizontal="center" vertical="center"/>
    </xf>
    <xf numFmtId="168" fontId="14" fillId="25" borderId="15" xfId="1026" applyNumberFormat="1" applyFont="1" applyFill="1" applyBorder="1" applyAlignment="1">
      <alignment horizontal="center" vertical="center"/>
    </xf>
    <xf numFmtId="168" fontId="14" fillId="25" borderId="11" xfId="1026" applyNumberFormat="1" applyFont="1" applyFill="1" applyBorder="1" applyAlignment="1">
      <alignment horizontal="center" vertical="center"/>
    </xf>
    <xf numFmtId="1" fontId="14" fillId="25" borderId="15" xfId="1026" applyNumberFormat="1" applyFont="1" applyFill="1" applyBorder="1" applyAlignment="1">
      <alignment horizontal="center" vertical="center"/>
    </xf>
    <xf numFmtId="0" fontId="12" fillId="25" borderId="37" xfId="0" applyFont="1" applyFill="1" applyBorder="1" applyAlignment="1">
      <alignment horizontal="center" vertical="center"/>
    </xf>
    <xf numFmtId="0" fontId="12" fillId="25" borderId="38" xfId="0" applyFont="1" applyFill="1" applyBorder="1" applyAlignment="1">
      <alignment horizontal="center" vertical="center"/>
    </xf>
    <xf numFmtId="0" fontId="12" fillId="25" borderId="40" xfId="0" applyFont="1" applyFill="1" applyBorder="1" applyAlignment="1">
      <alignment horizontal="center" vertical="center"/>
    </xf>
    <xf numFmtId="0" fontId="1" fillId="25" borderId="54" xfId="0" applyFont="1" applyFill="1" applyBorder="1"/>
    <xf numFmtId="0" fontId="1" fillId="25" borderId="52" xfId="0" applyFont="1" applyFill="1" applyBorder="1"/>
    <xf numFmtId="3" fontId="12" fillId="25" borderId="11" xfId="0" applyNumberFormat="1" applyFont="1" applyFill="1" applyBorder="1" applyAlignment="1">
      <alignment horizontal="center"/>
    </xf>
    <xf numFmtId="3" fontId="12" fillId="25" borderId="16" xfId="0" applyNumberFormat="1" applyFont="1" applyFill="1" applyBorder="1" applyAlignment="1">
      <alignment horizontal="center"/>
    </xf>
    <xf numFmtId="0" fontId="12" fillId="25" borderId="54" xfId="0" applyFont="1" applyFill="1" applyBorder="1"/>
    <xf numFmtId="0" fontId="1" fillId="25" borderId="14" xfId="0" applyFont="1" applyFill="1" applyBorder="1"/>
    <xf numFmtId="0" fontId="1" fillId="25" borderId="40" xfId="0" applyFont="1" applyFill="1" applyBorder="1"/>
    <xf numFmtId="0" fontId="14" fillId="25" borderId="53" xfId="1026" applyFont="1" applyFill="1" applyBorder="1" applyAlignment="1">
      <alignment horizontal="center" vertical="center"/>
    </xf>
    <xf numFmtId="0" fontId="4" fillId="0" borderId="0" xfId="0" applyFont="1" applyBorder="1"/>
    <xf numFmtId="0" fontId="4" fillId="0" borderId="55" xfId="0" applyFont="1" applyBorder="1"/>
    <xf numFmtId="0" fontId="4" fillId="0" borderId="55" xfId="0" applyFont="1" applyFill="1" applyBorder="1"/>
    <xf numFmtId="0" fontId="1" fillId="0" borderId="39" xfId="0" applyFont="1" applyBorder="1"/>
    <xf numFmtId="0" fontId="12" fillId="0" borderId="56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" fillId="0" borderId="53" xfId="0" applyFont="1" applyBorder="1"/>
    <xf numFmtId="1" fontId="14" fillId="24" borderId="11" xfId="1026" applyNumberFormat="1" applyFont="1" applyFill="1" applyBorder="1" applyAlignment="1">
      <alignment horizontal="center" vertical="center" wrapText="1"/>
    </xf>
    <xf numFmtId="1" fontId="14" fillId="0" borderId="14" xfId="1026" applyNumberFormat="1" applyFont="1" applyFill="1" applyBorder="1" applyAlignment="1">
      <alignment horizontal="center" vertical="center" wrapText="1"/>
    </xf>
    <xf numFmtId="49" fontId="14" fillId="0" borderId="57" xfId="1026" applyNumberFormat="1" applyFont="1" applyFill="1" applyBorder="1" applyAlignment="1">
      <alignment horizontal="center" vertical="center" wrapText="1"/>
    </xf>
    <xf numFmtId="1" fontId="12" fillId="0" borderId="0" xfId="0" applyNumberFormat="1" applyFont="1" applyFill="1" applyBorder="1" applyAlignment="1">
      <alignment horizontal="center" vertical="center"/>
    </xf>
    <xf numFmtId="1" fontId="12" fillId="0" borderId="0" xfId="1026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4" fillId="0" borderId="0" xfId="1026" applyNumberFormat="1" applyFont="1" applyFill="1" applyBorder="1" applyAlignment="1">
      <alignment horizontal="center" vertical="center" wrapText="1"/>
    </xf>
    <xf numFmtId="1" fontId="12" fillId="24" borderId="11" xfId="1026" applyNumberFormat="1" applyFont="1" applyFill="1" applyBorder="1" applyAlignment="1">
      <alignment horizontal="center" vertical="center" wrapText="1"/>
    </xf>
    <xf numFmtId="166" fontId="14" fillId="26" borderId="56" xfId="1026" applyNumberFormat="1" applyFont="1" applyFill="1" applyBorder="1" applyAlignment="1">
      <alignment horizontal="center" vertical="center"/>
    </xf>
    <xf numFmtId="168" fontId="14" fillId="26" borderId="48" xfId="1026" applyNumberFormat="1" applyFont="1" applyFill="1" applyBorder="1" applyAlignment="1">
      <alignment horizontal="center" vertical="center"/>
    </xf>
    <xf numFmtId="9" fontId="14" fillId="26" borderId="11" xfId="1026" applyNumberFormat="1" applyFont="1" applyFill="1" applyBorder="1" applyAlignment="1">
      <alignment horizontal="center" vertical="center"/>
    </xf>
    <xf numFmtId="168" fontId="14" fillId="26" borderId="52" xfId="1026" applyNumberFormat="1" applyFont="1" applyFill="1" applyBorder="1" applyAlignment="1">
      <alignment horizontal="center" vertical="center"/>
    </xf>
    <xf numFmtId="168" fontId="14" fillId="26" borderId="14" xfId="1026" applyNumberFormat="1" applyFont="1" applyFill="1" applyBorder="1" applyAlignment="1">
      <alignment horizontal="center" vertical="center"/>
    </xf>
    <xf numFmtId="0" fontId="1" fillId="26" borderId="37" xfId="0" applyFont="1" applyFill="1" applyBorder="1"/>
    <xf numFmtId="0" fontId="12" fillId="26" borderId="15" xfId="0" applyFont="1" applyFill="1" applyBorder="1" applyAlignment="1">
      <alignment horizontal="center" vertical="center" wrapText="1"/>
    </xf>
    <xf numFmtId="1" fontId="12" fillId="26" borderId="11" xfId="0" applyNumberFormat="1" applyFont="1" applyFill="1" applyBorder="1" applyAlignment="1">
      <alignment horizontal="center" vertical="center" wrapText="1"/>
    </xf>
    <xf numFmtId="0" fontId="12" fillId="26" borderId="11" xfId="0" applyFont="1" applyFill="1" applyBorder="1" applyAlignment="1">
      <alignment horizontal="center" vertical="center" wrapText="1"/>
    </xf>
    <xf numFmtId="1" fontId="12" fillId="26" borderId="47" xfId="0" applyNumberFormat="1" applyFont="1" applyFill="1" applyBorder="1" applyAlignment="1">
      <alignment horizontal="center" vertical="center" wrapText="1"/>
    </xf>
    <xf numFmtId="9" fontId="14" fillId="25" borderId="17" xfId="1026" applyNumberFormat="1" applyFont="1" applyFill="1" applyBorder="1" applyAlignment="1">
      <alignment horizontal="center" vertical="center"/>
    </xf>
    <xf numFmtId="0" fontId="1" fillId="25" borderId="17" xfId="0" applyFont="1" applyFill="1" applyBorder="1"/>
    <xf numFmtId="0" fontId="12" fillId="25" borderId="56" xfId="0" applyFont="1" applyFill="1" applyBorder="1" applyAlignment="1">
      <alignment horizontal="center" vertical="center"/>
    </xf>
    <xf numFmtId="0" fontId="12" fillId="25" borderId="17" xfId="0" applyFont="1" applyFill="1" applyBorder="1" applyAlignment="1">
      <alignment horizontal="center" vertical="center"/>
    </xf>
    <xf numFmtId="0" fontId="12" fillId="25" borderId="18" xfId="0" applyFont="1" applyFill="1" applyBorder="1" applyAlignment="1">
      <alignment horizontal="center" vertical="center"/>
    </xf>
    <xf numFmtId="0" fontId="1" fillId="25" borderId="56" xfId="0" applyFont="1" applyFill="1" applyBorder="1"/>
    <xf numFmtId="0" fontId="1" fillId="25" borderId="15" xfId="0" applyFont="1" applyFill="1" applyBorder="1"/>
    <xf numFmtId="0" fontId="12" fillId="25" borderId="56" xfId="0" applyFont="1" applyFill="1" applyBorder="1"/>
    <xf numFmtId="0" fontId="1" fillId="25" borderId="18" xfId="0" applyFont="1" applyFill="1" applyBorder="1"/>
    <xf numFmtId="168" fontId="1" fillId="0" borderId="0" xfId="0" applyNumberFormat="1" applyFont="1" applyFill="1"/>
    <xf numFmtId="0" fontId="1" fillId="0" borderId="17" xfId="0" applyFont="1" applyBorder="1" applyAlignment="1"/>
    <xf numFmtId="0" fontId="1" fillId="0" borderId="15" xfId="0" applyFont="1" applyBorder="1" applyAlignment="1"/>
    <xf numFmtId="0" fontId="23" fillId="0" borderId="15" xfId="1026" applyFont="1" applyFill="1" applyBorder="1" applyAlignment="1">
      <alignment horizontal="left" vertical="center" wrapText="1"/>
    </xf>
    <xf numFmtId="0" fontId="23" fillId="0" borderId="52" xfId="1026" applyFont="1" applyFill="1" applyBorder="1" applyAlignment="1">
      <alignment horizontal="left" vertical="center" wrapText="1"/>
    </xf>
    <xf numFmtId="0" fontId="1" fillId="0" borderId="58" xfId="0" applyFont="1" applyBorder="1"/>
    <xf numFmtId="0" fontId="1" fillId="0" borderId="40" xfId="0" applyFont="1" applyBorder="1"/>
    <xf numFmtId="0" fontId="4" fillId="0" borderId="0" xfId="0" applyFont="1" applyFill="1" applyBorder="1" applyAlignment="1">
      <alignment vertical="center" wrapText="1"/>
    </xf>
    <xf numFmtId="0" fontId="1" fillId="0" borderId="59" xfId="0" applyFont="1" applyBorder="1"/>
    <xf numFmtId="0" fontId="14" fillId="0" borderId="24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left" vertical="center"/>
    </xf>
    <xf numFmtId="0" fontId="14" fillId="0" borderId="24" xfId="1026" applyFont="1" applyFill="1" applyBorder="1" applyAlignment="1">
      <alignment horizontal="center" vertical="center" wrapText="1"/>
    </xf>
    <xf numFmtId="168" fontId="14" fillId="0" borderId="24" xfId="1026" applyNumberFormat="1" applyFont="1" applyFill="1" applyBorder="1" applyAlignment="1">
      <alignment horizontal="center" vertical="center"/>
    </xf>
    <xf numFmtId="0" fontId="14" fillId="0" borderId="60" xfId="1026" applyFont="1" applyFill="1" applyBorder="1" applyAlignment="1">
      <alignment horizontal="center" vertical="center"/>
    </xf>
    <xf numFmtId="1" fontId="14" fillId="0" borderId="25" xfId="0" applyNumberFormat="1" applyFont="1" applyFill="1" applyBorder="1" applyAlignment="1">
      <alignment horizontal="center" vertical="center"/>
    </xf>
    <xf numFmtId="166" fontId="14" fillId="0" borderId="61" xfId="1040" applyNumberFormat="1" applyFont="1" applyFill="1" applyBorder="1" applyAlignment="1" applyProtection="1">
      <alignment horizontal="center" vertical="center" wrapText="1"/>
    </xf>
    <xf numFmtId="166" fontId="14" fillId="0" borderId="25" xfId="1026" applyNumberFormat="1" applyFont="1" applyFill="1" applyBorder="1" applyAlignment="1">
      <alignment horizontal="center" vertical="center"/>
    </xf>
    <xf numFmtId="166" fontId="14" fillId="0" borderId="28" xfId="1026" applyNumberFormat="1" applyFont="1" applyFill="1" applyBorder="1" applyAlignment="1">
      <alignment horizontal="center" vertical="center"/>
    </xf>
    <xf numFmtId="0" fontId="14" fillId="0" borderId="25" xfId="1026" applyNumberFormat="1" applyFont="1" applyFill="1" applyBorder="1" applyAlignment="1">
      <alignment horizontal="center" vertical="center"/>
    </xf>
    <xf numFmtId="168" fontId="26" fillId="0" borderId="25" xfId="1040" applyNumberFormat="1" applyFont="1" applyFill="1" applyBorder="1" applyAlignment="1" applyProtection="1">
      <alignment horizontal="center" vertical="center"/>
    </xf>
    <xf numFmtId="1" fontId="14" fillId="0" borderId="35" xfId="0" applyNumberFormat="1" applyFont="1" applyFill="1" applyBorder="1" applyAlignment="1">
      <alignment horizontal="center" vertical="center" wrapText="1"/>
    </xf>
    <xf numFmtId="16" fontId="27" fillId="0" borderId="45" xfId="0" applyNumberFormat="1" applyFont="1" applyFill="1" applyBorder="1" applyAlignment="1">
      <alignment horizontal="left" vertical="center" wrapText="1"/>
    </xf>
    <xf numFmtId="49" fontId="14" fillId="0" borderId="45" xfId="1026" applyNumberFormat="1" applyFont="1" applyFill="1" applyBorder="1" applyAlignment="1">
      <alignment horizontal="center" vertical="center" wrapText="1"/>
    </xf>
    <xf numFmtId="168" fontId="27" fillId="0" borderId="45" xfId="1026" applyNumberFormat="1" applyFont="1" applyFill="1" applyBorder="1" applyAlignment="1">
      <alignment horizontal="left" vertical="center" wrapText="1"/>
    </xf>
    <xf numFmtId="168" fontId="14" fillId="0" borderId="45" xfId="1026" applyNumberFormat="1" applyFont="1" applyFill="1" applyBorder="1" applyAlignment="1">
      <alignment horizontal="center" vertical="center"/>
    </xf>
    <xf numFmtId="0" fontId="1" fillId="0" borderId="14" xfId="0" applyFont="1" applyFill="1" applyBorder="1"/>
    <xf numFmtId="0" fontId="1" fillId="0" borderId="40" xfId="0" applyFont="1" applyFill="1" applyBorder="1"/>
    <xf numFmtId="168" fontId="12" fillId="0" borderId="17" xfId="0" applyNumberFormat="1" applyFont="1" applyFill="1" applyBorder="1" applyAlignment="1">
      <alignment horizontal="center" vertical="center"/>
    </xf>
    <xf numFmtId="168" fontId="12" fillId="0" borderId="56" xfId="0" applyNumberFormat="1" applyFont="1" applyFill="1" applyBorder="1" applyAlignment="1">
      <alignment horizontal="center" vertical="center"/>
    </xf>
    <xf numFmtId="168" fontId="12" fillId="0" borderId="18" xfId="0" applyNumberFormat="1" applyFont="1" applyFill="1" applyBorder="1" applyAlignment="1">
      <alignment horizontal="center" vertical="center"/>
    </xf>
    <xf numFmtId="1" fontId="12" fillId="0" borderId="0" xfId="0" applyNumberFormat="1" applyFont="1" applyFill="1" applyBorder="1" applyAlignment="1">
      <alignment horizontal="center" vertical="center" wrapText="1"/>
    </xf>
    <xf numFmtId="49" fontId="14" fillId="0" borderId="62" xfId="1026" applyNumberFormat="1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 wrapText="1"/>
    </xf>
    <xf numFmtId="0" fontId="26" fillId="0" borderId="24" xfId="1026" applyFont="1" applyFill="1" applyBorder="1" applyAlignment="1">
      <alignment horizontal="center" vertical="center"/>
    </xf>
    <xf numFmtId="0" fontId="14" fillId="0" borderId="25" xfId="1026" applyFont="1" applyFill="1" applyBorder="1" applyAlignment="1">
      <alignment horizontal="center" vertical="center" wrapText="1"/>
    </xf>
    <xf numFmtId="49" fontId="14" fillId="0" borderId="63" xfId="1026" applyNumberFormat="1" applyFont="1" applyFill="1" applyBorder="1" applyAlignment="1">
      <alignment horizontal="center" vertical="center" wrapText="1"/>
    </xf>
    <xf numFmtId="166" fontId="14" fillId="0" borderId="25" xfId="1040" applyNumberFormat="1" applyFont="1" applyFill="1" applyBorder="1" applyAlignment="1" applyProtection="1">
      <alignment horizontal="center" vertical="center" wrapText="1"/>
    </xf>
    <xf numFmtId="166" fontId="14" fillId="0" borderId="28" xfId="1040" applyNumberFormat="1" applyFont="1" applyFill="1" applyBorder="1" applyAlignment="1" applyProtection="1">
      <alignment horizontal="center" vertical="center"/>
    </xf>
    <xf numFmtId="168" fontId="14" fillId="0" borderId="31" xfId="1026" applyNumberFormat="1" applyFont="1" applyFill="1" applyBorder="1" applyAlignment="1">
      <alignment horizontal="center" vertical="center"/>
    </xf>
    <xf numFmtId="49" fontId="14" fillId="0" borderId="52" xfId="1026" applyNumberFormat="1" applyFont="1" applyFill="1" applyBorder="1" applyAlignment="1">
      <alignment horizontal="center" vertical="center" wrapText="1"/>
    </xf>
    <xf numFmtId="168" fontId="27" fillId="0" borderId="52" xfId="1026" applyNumberFormat="1" applyFont="1" applyFill="1" applyBorder="1" applyAlignment="1">
      <alignment horizontal="left" vertical="center" wrapText="1"/>
    </xf>
    <xf numFmtId="1" fontId="14" fillId="0" borderId="52" xfId="1026" applyNumberFormat="1" applyFont="1" applyFill="1" applyBorder="1" applyAlignment="1">
      <alignment horizontal="center" vertical="center"/>
    </xf>
    <xf numFmtId="168" fontId="14" fillId="0" borderId="14" xfId="1026" applyNumberFormat="1" applyFont="1" applyFill="1" applyBorder="1" applyAlignment="1">
      <alignment horizontal="center" vertical="center"/>
    </xf>
    <xf numFmtId="168" fontId="14" fillId="0" borderId="52" xfId="1026" applyNumberFormat="1" applyFont="1" applyFill="1" applyBorder="1" applyAlignment="1">
      <alignment horizontal="center" vertical="center"/>
    </xf>
    <xf numFmtId="0" fontId="1" fillId="0" borderId="58" xfId="0" applyFont="1" applyFill="1" applyBorder="1"/>
    <xf numFmtId="168" fontId="12" fillId="0" borderId="22" xfId="0" applyNumberFormat="1" applyFont="1" applyFill="1" applyBorder="1" applyAlignment="1">
      <alignment horizontal="center" vertical="center"/>
    </xf>
    <xf numFmtId="168" fontId="14" fillId="0" borderId="25" xfId="0" applyNumberFormat="1" applyFont="1" applyFill="1" applyBorder="1" applyAlignment="1">
      <alignment horizontal="center" vertical="center"/>
    </xf>
    <xf numFmtId="168" fontId="14" fillId="0" borderId="32" xfId="0" applyNumberFormat="1" applyFont="1" applyFill="1" applyBorder="1" applyAlignment="1">
      <alignment horizontal="center" vertical="center" wrapText="1"/>
    </xf>
    <xf numFmtId="0" fontId="26" fillId="0" borderId="25" xfId="1026" applyFont="1" applyFill="1" applyBorder="1" applyAlignment="1">
      <alignment horizontal="center" vertical="center"/>
    </xf>
    <xf numFmtId="166" fontId="14" fillId="0" borderId="24" xfId="1040" applyNumberFormat="1" applyFont="1" applyFill="1" applyBorder="1" applyAlignment="1" applyProtection="1">
      <alignment horizontal="center" vertical="center"/>
    </xf>
    <xf numFmtId="168" fontId="14" fillId="0" borderId="25" xfId="1040" applyNumberFormat="1" applyFont="1" applyFill="1" applyBorder="1" applyAlignment="1" applyProtection="1">
      <alignment horizontal="center" vertical="center"/>
    </xf>
    <xf numFmtId="0" fontId="14" fillId="0" borderId="28" xfId="0" applyFont="1" applyFill="1" applyBorder="1" applyAlignment="1">
      <alignment horizontal="center" vertical="center" wrapText="1"/>
    </xf>
    <xf numFmtId="0" fontId="14" fillId="0" borderId="45" xfId="0" applyFont="1" applyFill="1" applyBorder="1" applyAlignment="1">
      <alignment horizontal="center" vertical="center" wrapText="1"/>
    </xf>
    <xf numFmtId="0" fontId="14" fillId="0" borderId="52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" fillId="0" borderId="47" xfId="0" applyFont="1" applyBorder="1"/>
    <xf numFmtId="49" fontId="14" fillId="0" borderId="64" xfId="1026" applyNumberFormat="1" applyFont="1" applyFill="1" applyBorder="1" applyAlignment="1">
      <alignment horizontal="center" vertical="center" wrapText="1"/>
    </xf>
    <xf numFmtId="166" fontId="14" fillId="26" borderId="65" xfId="1026" applyNumberFormat="1" applyFont="1" applyFill="1" applyBorder="1" applyAlignment="1">
      <alignment horizontal="center" vertical="center"/>
    </xf>
    <xf numFmtId="0" fontId="14" fillId="26" borderId="51" xfId="1026" applyFont="1" applyFill="1" applyBorder="1" applyAlignment="1">
      <alignment horizontal="center" vertical="center"/>
    </xf>
    <xf numFmtId="0" fontId="12" fillId="26" borderId="45" xfId="0" applyFont="1" applyFill="1" applyBorder="1" applyAlignment="1">
      <alignment vertical="center"/>
    </xf>
    <xf numFmtId="0" fontId="12" fillId="26" borderId="52" xfId="0" applyFont="1" applyFill="1" applyBorder="1" applyAlignment="1">
      <alignment vertical="center"/>
    </xf>
    <xf numFmtId="0" fontId="12" fillId="26" borderId="14" xfId="0" applyFont="1" applyFill="1" applyBorder="1" applyAlignment="1">
      <alignment vertical="center"/>
    </xf>
    <xf numFmtId="0" fontId="1" fillId="26" borderId="14" xfId="0" applyFont="1" applyFill="1" applyBorder="1"/>
    <xf numFmtId="0" fontId="1" fillId="26" borderId="40" xfId="0" applyFont="1" applyFill="1" applyBorder="1"/>
    <xf numFmtId="0" fontId="12" fillId="0" borderId="0" xfId="0" applyFont="1" applyFill="1" applyBorder="1"/>
    <xf numFmtId="168" fontId="14" fillId="25" borderId="47" xfId="1026" applyNumberFormat="1" applyFont="1" applyFill="1" applyBorder="1" applyAlignment="1">
      <alignment horizontal="center" vertical="center"/>
    </xf>
    <xf numFmtId="168" fontId="14" fillId="25" borderId="14" xfId="1026" applyNumberFormat="1" applyFont="1" applyFill="1" applyBorder="1" applyAlignment="1">
      <alignment horizontal="center" vertical="center"/>
    </xf>
    <xf numFmtId="0" fontId="12" fillId="25" borderId="52" xfId="0" applyFont="1" applyFill="1" applyBorder="1"/>
    <xf numFmtId="0" fontId="12" fillId="25" borderId="14" xfId="0" applyFont="1" applyFill="1" applyBorder="1"/>
    <xf numFmtId="0" fontId="1" fillId="25" borderId="11" xfId="0" applyFont="1" applyFill="1" applyBorder="1"/>
    <xf numFmtId="0" fontId="8" fillId="0" borderId="0" xfId="0" applyFont="1" applyFill="1" applyBorder="1"/>
    <xf numFmtId="0" fontId="14" fillId="0" borderId="23" xfId="1025" applyNumberFormat="1" applyFont="1" applyFill="1" applyBorder="1" applyAlignment="1">
      <alignment horizontal="center" vertical="center" wrapText="1"/>
    </xf>
    <xf numFmtId="1" fontId="14" fillId="0" borderId="23" xfId="1026" applyNumberFormat="1" applyFont="1" applyFill="1" applyBorder="1" applyAlignment="1">
      <alignment horizontal="center" vertical="center"/>
    </xf>
    <xf numFmtId="9" fontId="14" fillId="0" borderId="28" xfId="0" applyNumberFormat="1" applyFont="1" applyFill="1" applyBorder="1" applyAlignment="1">
      <alignment horizontal="center" vertical="center" wrapText="1"/>
    </xf>
    <xf numFmtId="1" fontId="14" fillId="0" borderId="66" xfId="1026" applyNumberFormat="1" applyFont="1" applyFill="1" applyBorder="1" applyAlignment="1">
      <alignment horizontal="center" vertical="center"/>
    </xf>
    <xf numFmtId="168" fontId="14" fillId="0" borderId="35" xfId="1026" applyNumberFormat="1" applyFont="1" applyFill="1" applyBorder="1" applyAlignment="1">
      <alignment horizontal="center" vertical="center"/>
    </xf>
    <xf numFmtId="0" fontId="12" fillId="0" borderId="67" xfId="0" applyFont="1" applyFill="1" applyBorder="1" applyAlignment="1">
      <alignment horizontal="center" vertical="center"/>
    </xf>
    <xf numFmtId="0" fontId="14" fillId="0" borderId="31" xfId="1025" applyFont="1" applyFill="1" applyBorder="1" applyAlignment="1">
      <alignment horizontal="center" vertical="center"/>
    </xf>
    <xf numFmtId="168" fontId="14" fillId="0" borderId="24" xfId="0" applyNumberFormat="1" applyFont="1" applyFill="1" applyBorder="1" applyAlignment="1">
      <alignment horizontal="center" vertical="center"/>
    </xf>
    <xf numFmtId="166" fontId="14" fillId="0" borderId="31" xfId="0" applyNumberFormat="1" applyFont="1" applyFill="1" applyBorder="1" applyAlignment="1">
      <alignment horizontal="center" vertical="center"/>
    </xf>
    <xf numFmtId="166" fontId="14" fillId="0" borderId="31" xfId="1040" applyNumberFormat="1" applyFont="1" applyFill="1" applyBorder="1" applyAlignment="1" applyProtection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68" fontId="14" fillId="0" borderId="24" xfId="1026" applyNumberFormat="1" applyFont="1" applyFill="1" applyBorder="1" applyAlignment="1">
      <alignment horizontal="center" vertical="center" wrapText="1"/>
    </xf>
    <xf numFmtId="49" fontId="14" fillId="0" borderId="60" xfId="1026" applyNumberFormat="1" applyFont="1" applyFill="1" applyBorder="1" applyAlignment="1">
      <alignment horizontal="center" vertical="center" wrapText="1"/>
    </xf>
    <xf numFmtId="1" fontId="14" fillId="0" borderId="63" xfId="1040" applyNumberFormat="1" applyFont="1" applyFill="1" applyBorder="1" applyAlignment="1" applyProtection="1">
      <alignment horizontal="center" vertical="center"/>
    </xf>
    <xf numFmtId="1" fontId="14" fillId="26" borderId="68" xfId="1026" applyNumberFormat="1" applyFont="1" applyFill="1" applyBorder="1" applyAlignment="1">
      <alignment horizontal="center" vertical="center" wrapText="1"/>
    </xf>
    <xf numFmtId="1" fontId="14" fillId="26" borderId="68" xfId="1026" applyNumberFormat="1" applyFont="1" applyFill="1" applyBorder="1" applyAlignment="1">
      <alignment horizontal="center" vertical="center"/>
    </xf>
    <xf numFmtId="0" fontId="14" fillId="26" borderId="69" xfId="1026" applyFont="1" applyFill="1" applyBorder="1" applyAlignment="1">
      <alignment horizontal="center" vertical="center"/>
    </xf>
    <xf numFmtId="0" fontId="14" fillId="26" borderId="70" xfId="1026" applyFont="1" applyFill="1" applyBorder="1" applyAlignment="1">
      <alignment horizontal="center" vertical="center"/>
    </xf>
    <xf numFmtId="1" fontId="14" fillId="26" borderId="71" xfId="1026" applyNumberFormat="1" applyFont="1" applyFill="1" applyBorder="1" applyAlignment="1">
      <alignment horizontal="center" vertical="center"/>
    </xf>
    <xf numFmtId="168" fontId="14" fillId="26" borderId="71" xfId="1026" applyNumberFormat="1" applyFont="1" applyFill="1" applyBorder="1" applyAlignment="1">
      <alignment horizontal="center" vertical="center"/>
    </xf>
    <xf numFmtId="166" fontId="14" fillId="26" borderId="68" xfId="1026" applyNumberFormat="1" applyFont="1" applyFill="1" applyBorder="1" applyAlignment="1">
      <alignment horizontal="center" vertical="center"/>
    </xf>
    <xf numFmtId="166" fontId="14" fillId="26" borderId="70" xfId="1026" applyNumberFormat="1" applyFont="1" applyFill="1" applyBorder="1" applyAlignment="1">
      <alignment horizontal="center" vertical="center"/>
    </xf>
    <xf numFmtId="166" fontId="14" fillId="26" borderId="71" xfId="1026" applyNumberFormat="1" applyFont="1" applyFill="1" applyBorder="1" applyAlignment="1">
      <alignment horizontal="center" vertical="center"/>
    </xf>
    <xf numFmtId="1" fontId="14" fillId="26" borderId="72" xfId="1026" applyNumberFormat="1" applyFont="1" applyFill="1" applyBorder="1" applyAlignment="1">
      <alignment horizontal="center" vertical="center"/>
    </xf>
    <xf numFmtId="166" fontId="14" fillId="26" borderId="73" xfId="1026" applyNumberFormat="1" applyFont="1" applyFill="1" applyBorder="1" applyAlignment="1">
      <alignment horizontal="center" vertical="center"/>
    </xf>
    <xf numFmtId="0" fontId="14" fillId="26" borderId="74" xfId="1026" applyFont="1" applyFill="1" applyBorder="1" applyAlignment="1">
      <alignment horizontal="center" vertical="center"/>
    </xf>
    <xf numFmtId="168" fontId="14" fillId="26" borderId="70" xfId="1026" applyNumberFormat="1" applyFont="1" applyFill="1" applyBorder="1" applyAlignment="1">
      <alignment horizontal="center" vertical="center"/>
    </xf>
    <xf numFmtId="1" fontId="14" fillId="26" borderId="10" xfId="1026" applyNumberFormat="1" applyFont="1" applyFill="1" applyBorder="1" applyAlignment="1">
      <alignment horizontal="center" vertical="center"/>
    </xf>
    <xf numFmtId="168" fontId="14" fillId="26" borderId="10" xfId="1026" applyNumberFormat="1" applyFont="1" applyFill="1" applyBorder="1" applyAlignment="1">
      <alignment horizontal="center" vertical="center"/>
    </xf>
    <xf numFmtId="0" fontId="12" fillId="26" borderId="15" xfId="0" applyFont="1" applyFill="1" applyBorder="1" applyAlignment="1">
      <alignment vertical="center"/>
    </xf>
    <xf numFmtId="0" fontId="12" fillId="26" borderId="11" xfId="0" applyFont="1" applyFill="1" applyBorder="1" applyAlignment="1">
      <alignment vertical="center"/>
    </xf>
    <xf numFmtId="0" fontId="12" fillId="26" borderId="75" xfId="0" applyFont="1" applyFill="1" applyBorder="1" applyAlignment="1">
      <alignment horizontal="center" vertical="center"/>
    </xf>
    <xf numFmtId="1" fontId="12" fillId="26" borderId="76" xfId="0" applyNumberFormat="1" applyFont="1" applyFill="1" applyBorder="1" applyAlignment="1">
      <alignment horizontal="center" vertical="center"/>
    </xf>
    <xf numFmtId="0" fontId="12" fillId="26" borderId="76" xfId="0" applyFont="1" applyFill="1" applyBorder="1" applyAlignment="1">
      <alignment horizontal="center" vertical="center"/>
    </xf>
    <xf numFmtId="1" fontId="12" fillId="26" borderId="77" xfId="0" applyNumberFormat="1" applyFont="1" applyFill="1" applyBorder="1" applyAlignment="1">
      <alignment horizontal="center"/>
    </xf>
    <xf numFmtId="0" fontId="21" fillId="26" borderId="38" xfId="0" applyFont="1" applyFill="1" applyBorder="1" applyAlignment="1">
      <alignment horizontal="center" vertical="center"/>
    </xf>
    <xf numFmtId="0" fontId="14" fillId="26" borderId="78" xfId="1026" applyFont="1" applyFill="1" applyBorder="1" applyAlignment="1">
      <alignment horizontal="center" vertical="center"/>
    </xf>
    <xf numFmtId="0" fontId="14" fillId="25" borderId="65" xfId="1026" applyFont="1" applyFill="1" applyBorder="1" applyAlignment="1">
      <alignment horizontal="center" vertical="center"/>
    </xf>
    <xf numFmtId="0" fontId="12" fillId="25" borderId="79" xfId="0" applyFont="1" applyFill="1" applyBorder="1"/>
    <xf numFmtId="0" fontId="12" fillId="25" borderId="80" xfId="0" applyFont="1" applyFill="1" applyBorder="1"/>
    <xf numFmtId="0" fontId="1" fillId="25" borderId="81" xfId="0" applyFont="1" applyFill="1" applyBorder="1"/>
    <xf numFmtId="0" fontId="1" fillId="25" borderId="82" xfId="0" applyFont="1" applyFill="1" applyBorder="1"/>
    <xf numFmtId="0" fontId="4" fillId="25" borderId="83" xfId="0" applyFont="1" applyFill="1" applyBorder="1" applyAlignment="1">
      <alignment horizontal="center" vertical="center" wrapText="1"/>
    </xf>
    <xf numFmtId="0" fontId="4" fillId="25" borderId="84" xfId="0" applyFont="1" applyFill="1" applyBorder="1" applyAlignment="1">
      <alignment horizontal="center" vertical="center" wrapText="1"/>
    </xf>
    <xf numFmtId="0" fontId="4" fillId="25" borderId="85" xfId="0" applyFont="1" applyFill="1" applyBorder="1" applyAlignment="1">
      <alignment horizontal="center" vertical="center" wrapText="1"/>
    </xf>
    <xf numFmtId="0" fontId="12" fillId="25" borderId="86" xfId="0" applyFont="1" applyFill="1" applyBorder="1" applyAlignment="1">
      <alignment horizontal="center"/>
    </xf>
    <xf numFmtId="0" fontId="12" fillId="25" borderId="37" xfId="0" applyFont="1" applyFill="1" applyBorder="1" applyAlignment="1">
      <alignment horizontal="center"/>
    </xf>
    <xf numFmtId="0" fontId="12" fillId="25" borderId="38" xfId="0" applyFont="1" applyFill="1" applyBorder="1" applyAlignment="1">
      <alignment horizontal="center"/>
    </xf>
    <xf numFmtId="0" fontId="12" fillId="25" borderId="40" xfId="0" applyFont="1" applyFill="1" applyBorder="1" applyAlignment="1">
      <alignment horizontal="center"/>
    </xf>
    <xf numFmtId="0" fontId="1" fillId="25" borderId="41" xfId="0" applyFont="1" applyFill="1" applyBorder="1"/>
    <xf numFmtId="0" fontId="14" fillId="25" borderId="87" xfId="1026" applyFont="1" applyFill="1" applyBorder="1" applyAlignment="1">
      <alignment horizontal="center" vertical="center"/>
    </xf>
    <xf numFmtId="0" fontId="23" fillId="0" borderId="38" xfId="1026" applyFont="1" applyFill="1" applyBorder="1" applyAlignment="1">
      <alignment vertical="center" wrapText="1"/>
    </xf>
    <xf numFmtId="0" fontId="23" fillId="0" borderId="52" xfId="1026" applyFont="1" applyFill="1" applyBorder="1" applyAlignment="1">
      <alignment vertical="center" wrapText="1"/>
    </xf>
    <xf numFmtId="0" fontId="23" fillId="0" borderId="38" xfId="1026" applyFont="1" applyFill="1" applyBorder="1" applyAlignment="1">
      <alignment horizontal="left" vertical="center" wrapText="1"/>
    </xf>
    <xf numFmtId="0" fontId="1" fillId="0" borderId="38" xfId="0" applyFont="1" applyBorder="1"/>
    <xf numFmtId="0" fontId="21" fillId="0" borderId="37" xfId="0" applyFont="1" applyFill="1" applyBorder="1" applyAlignment="1">
      <alignment horizontal="center" vertical="center"/>
    </xf>
    <xf numFmtId="0" fontId="21" fillId="0" borderId="38" xfId="0" applyFont="1" applyFill="1" applyBorder="1" applyAlignment="1">
      <alignment horizontal="center" vertical="center"/>
    </xf>
    <xf numFmtId="1" fontId="21" fillId="0" borderId="40" xfId="0" applyNumberFormat="1" applyFont="1" applyFill="1" applyBorder="1" applyAlignment="1">
      <alignment horizontal="center" vertical="center"/>
    </xf>
    <xf numFmtId="0" fontId="1" fillId="0" borderId="37" xfId="0" applyFont="1" applyBorder="1"/>
    <xf numFmtId="0" fontId="8" fillId="0" borderId="38" xfId="0" applyFont="1" applyFill="1" applyBorder="1" applyAlignment="1">
      <alignment vertical="center" wrapText="1"/>
    </xf>
    <xf numFmtId="0" fontId="1" fillId="0" borderId="42" xfId="0" applyFont="1" applyBorder="1"/>
    <xf numFmtId="168" fontId="26" fillId="0" borderId="24" xfId="1026" applyNumberFormat="1" applyFont="1" applyFill="1" applyBorder="1" applyAlignment="1">
      <alignment horizontal="center" vertical="center"/>
    </xf>
    <xf numFmtId="1" fontId="14" fillId="0" borderId="63" xfId="0" applyNumberFormat="1" applyFont="1" applyFill="1" applyBorder="1" applyAlignment="1">
      <alignment horizontal="center" vertical="center" wrapText="1"/>
    </xf>
    <xf numFmtId="16" fontId="27" fillId="0" borderId="35" xfId="0" applyNumberFormat="1" applyFont="1" applyFill="1" applyBorder="1" applyAlignment="1">
      <alignment horizontal="left" vertical="center" wrapText="1"/>
    </xf>
    <xf numFmtId="49" fontId="14" fillId="0" borderId="35" xfId="1026" applyNumberFormat="1" applyFont="1" applyFill="1" applyBorder="1" applyAlignment="1">
      <alignment horizontal="center" vertical="center" wrapText="1"/>
    </xf>
    <xf numFmtId="168" fontId="28" fillId="0" borderId="30" xfId="1026" applyNumberFormat="1" applyFont="1" applyFill="1" applyBorder="1" applyAlignment="1">
      <alignment horizontal="center" vertical="center" wrapText="1"/>
    </xf>
    <xf numFmtId="1" fontId="12" fillId="0" borderId="47" xfId="0" applyNumberFormat="1" applyFont="1" applyFill="1" applyBorder="1" applyAlignment="1">
      <alignment horizontal="center" vertical="center" wrapText="1"/>
    </xf>
    <xf numFmtId="49" fontId="14" fillId="0" borderId="88" xfId="1026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8" fontId="14" fillId="0" borderId="24" xfId="0" applyNumberFormat="1" applyFont="1" applyFill="1" applyBorder="1" applyAlignment="1">
      <alignment horizontal="center" vertical="center" wrapText="1"/>
    </xf>
    <xf numFmtId="166" fontId="14" fillId="0" borderId="24" xfId="1026" applyNumberFormat="1" applyFont="1" applyFill="1" applyBorder="1" applyAlignment="1">
      <alignment horizontal="center" vertical="center" wrapText="1"/>
    </xf>
    <xf numFmtId="168" fontId="27" fillId="0" borderId="35" xfId="1026" applyNumberFormat="1" applyFont="1" applyFill="1" applyBorder="1" applyAlignment="1">
      <alignment horizontal="left" vertical="center" wrapText="1"/>
    </xf>
    <xf numFmtId="0" fontId="1" fillId="0" borderId="30" xfId="0" applyFont="1" applyFill="1" applyBorder="1"/>
    <xf numFmtId="0" fontId="1" fillId="0" borderId="36" xfId="0" applyFont="1" applyFill="1" applyBorder="1"/>
    <xf numFmtId="1" fontId="12" fillId="0" borderId="22" xfId="0" applyNumberFormat="1" applyFont="1" applyFill="1" applyBorder="1" applyAlignment="1">
      <alignment horizontal="center" vertical="center"/>
    </xf>
    <xf numFmtId="166" fontId="14" fillId="0" borderId="23" xfId="1025" applyNumberFormat="1" applyFont="1" applyFill="1" applyBorder="1" applyAlignment="1">
      <alignment horizontal="center" vertical="center" wrapText="1"/>
    </xf>
    <xf numFmtId="168" fontId="14" fillId="0" borderId="35" xfId="0" applyNumberFormat="1" applyFont="1" applyFill="1" applyBorder="1" applyAlignment="1">
      <alignment horizontal="center" vertical="center" wrapText="1"/>
    </xf>
    <xf numFmtId="16" fontId="27" fillId="0" borderId="89" xfId="0" applyNumberFormat="1" applyFont="1" applyFill="1" applyBorder="1" applyAlignment="1">
      <alignment horizontal="left" vertical="center" wrapText="1"/>
    </xf>
    <xf numFmtId="168" fontId="27" fillId="0" borderId="89" xfId="1026" applyNumberFormat="1" applyFont="1" applyFill="1" applyBorder="1" applyAlignment="1">
      <alignment horizontal="center" vertical="center" wrapText="1"/>
    </xf>
    <xf numFmtId="168" fontId="14" fillId="0" borderId="57" xfId="1026" applyNumberFormat="1" applyFont="1" applyFill="1" applyBorder="1" applyAlignment="1">
      <alignment horizontal="center" vertical="center"/>
    </xf>
    <xf numFmtId="168" fontId="14" fillId="0" borderId="34" xfId="1026" applyNumberFormat="1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90" xfId="0" applyFont="1" applyFill="1" applyBorder="1" applyAlignment="1">
      <alignment horizontal="center" vertical="center"/>
    </xf>
    <xf numFmtId="49" fontId="14" fillId="0" borderId="53" xfId="1026" applyNumberFormat="1" applyFont="1" applyFill="1" applyBorder="1" applyAlignment="1">
      <alignment horizontal="center" vertical="center" wrapText="1"/>
    </xf>
    <xf numFmtId="166" fontId="14" fillId="27" borderId="23" xfId="1025" applyNumberFormat="1" applyFont="1" applyFill="1" applyBorder="1" applyAlignment="1">
      <alignment horizontal="center" vertical="center" wrapText="1"/>
    </xf>
    <xf numFmtId="0" fontId="14" fillId="27" borderId="24" xfId="0" applyFont="1" applyFill="1" applyBorder="1" applyAlignment="1">
      <alignment horizontal="center" vertical="center"/>
    </xf>
    <xf numFmtId="0" fontId="14" fillId="27" borderId="24" xfId="0" applyFont="1" applyFill="1" applyBorder="1" applyAlignment="1">
      <alignment horizontal="left" vertical="center"/>
    </xf>
    <xf numFmtId="1" fontId="14" fillId="27" borderId="24" xfId="1026" applyNumberFormat="1" applyFont="1" applyFill="1" applyBorder="1" applyAlignment="1">
      <alignment horizontal="center" vertical="center"/>
    </xf>
    <xf numFmtId="1" fontId="14" fillId="27" borderId="24" xfId="1026" applyNumberFormat="1" applyFont="1" applyFill="1" applyBorder="1" applyAlignment="1">
      <alignment horizontal="center" vertical="center" wrapText="1"/>
    </xf>
    <xf numFmtId="0" fontId="14" fillId="27" borderId="24" xfId="0" applyFont="1" applyFill="1" applyBorder="1" applyAlignment="1">
      <alignment horizontal="center" vertical="center" wrapText="1"/>
    </xf>
    <xf numFmtId="168" fontId="14" fillId="27" borderId="25" xfId="0" applyNumberFormat="1" applyFont="1" applyFill="1" applyBorder="1" applyAlignment="1">
      <alignment horizontal="center" vertical="center"/>
    </xf>
    <xf numFmtId="1" fontId="14" fillId="27" borderId="24" xfId="0" applyNumberFormat="1" applyFont="1" applyFill="1" applyBorder="1" applyAlignment="1">
      <alignment horizontal="center" vertical="center"/>
    </xf>
    <xf numFmtId="0" fontId="14" fillId="27" borderId="24" xfId="1026" applyFont="1" applyFill="1" applyBorder="1" applyAlignment="1">
      <alignment horizontal="center" vertical="center"/>
    </xf>
    <xf numFmtId="0" fontId="14" fillId="27" borderId="24" xfId="1026" applyFont="1" applyFill="1" applyBorder="1" applyAlignment="1">
      <alignment horizontal="center" vertical="center" wrapText="1"/>
    </xf>
    <xf numFmtId="0" fontId="14" fillId="27" borderId="60" xfId="1026" applyFont="1" applyFill="1" applyBorder="1" applyAlignment="1">
      <alignment horizontal="center" vertical="center"/>
    </xf>
    <xf numFmtId="166" fontId="14" fillId="27" borderId="23" xfId="1040" applyNumberFormat="1" applyFont="1" applyFill="1" applyBorder="1" applyAlignment="1" applyProtection="1">
      <alignment horizontal="center" vertical="center"/>
    </xf>
    <xf numFmtId="166" fontId="14" fillId="27" borderId="24" xfId="1026" applyNumberFormat="1" applyFont="1" applyFill="1" applyBorder="1" applyAlignment="1">
      <alignment horizontal="center" vertical="center" wrapText="1"/>
    </xf>
    <xf numFmtId="1" fontId="14" fillId="27" borderId="25" xfId="1040" applyNumberFormat="1" applyFont="1" applyFill="1" applyBorder="1" applyAlignment="1" applyProtection="1">
      <alignment horizontal="center" vertical="center"/>
    </xf>
    <xf numFmtId="1" fontId="14" fillId="27" borderId="27" xfId="1040" applyNumberFormat="1" applyFont="1" applyFill="1" applyBorder="1" applyAlignment="1" applyProtection="1">
      <alignment horizontal="center" vertical="center"/>
    </xf>
    <xf numFmtId="166" fontId="14" fillId="27" borderId="25" xfId="1040" applyNumberFormat="1" applyFont="1" applyFill="1" applyBorder="1" applyAlignment="1" applyProtection="1">
      <alignment horizontal="center" vertical="center"/>
    </xf>
    <xf numFmtId="1" fontId="14" fillId="27" borderId="28" xfId="1040" applyNumberFormat="1" applyFont="1" applyFill="1" applyBorder="1" applyAlignment="1" applyProtection="1">
      <alignment horizontal="center" vertical="center"/>
    </xf>
    <xf numFmtId="0" fontId="14" fillId="27" borderId="25" xfId="1026" applyNumberFormat="1" applyFont="1" applyFill="1" applyBorder="1" applyAlignment="1">
      <alignment horizontal="center" vertical="center"/>
    </xf>
    <xf numFmtId="1" fontId="14" fillId="27" borderId="24" xfId="1040" applyNumberFormat="1" applyFont="1" applyFill="1" applyBorder="1" applyAlignment="1" applyProtection="1">
      <alignment horizontal="center" vertical="center"/>
    </xf>
    <xf numFmtId="168" fontId="14" fillId="27" borderId="63" xfId="0" applyNumberFormat="1" applyFont="1" applyFill="1" applyBorder="1" applyAlignment="1">
      <alignment horizontal="center" vertical="center" wrapText="1"/>
    </xf>
    <xf numFmtId="1" fontId="14" fillId="27" borderId="30" xfId="1040" applyNumberFormat="1" applyFont="1" applyFill="1" applyBorder="1" applyAlignment="1" applyProtection="1">
      <alignment horizontal="center" vertical="center" wrapText="1"/>
    </xf>
    <xf numFmtId="168" fontId="14" fillId="27" borderId="31" xfId="1026" applyNumberFormat="1" applyFont="1" applyFill="1" applyBorder="1" applyAlignment="1">
      <alignment horizontal="center" vertical="center"/>
    </xf>
    <xf numFmtId="168" fontId="14" fillId="27" borderId="24" xfId="1026" applyNumberFormat="1" applyFont="1" applyFill="1" applyBorder="1" applyAlignment="1">
      <alignment horizontal="center" vertical="center"/>
    </xf>
    <xf numFmtId="168" fontId="14" fillId="27" borderId="25" xfId="1026" applyNumberFormat="1" applyFont="1" applyFill="1" applyBorder="1" applyAlignment="1">
      <alignment horizontal="center" vertical="center"/>
    </xf>
    <xf numFmtId="1" fontId="14" fillId="27" borderId="27" xfId="1026" applyNumberFormat="1" applyFont="1" applyFill="1" applyBorder="1" applyAlignment="1">
      <alignment horizontal="center" vertical="center"/>
    </xf>
    <xf numFmtId="16" fontId="27" fillId="27" borderId="35" xfId="0" applyNumberFormat="1" applyFont="1" applyFill="1" applyBorder="1" applyAlignment="1">
      <alignment horizontal="left" vertical="center" wrapText="1"/>
    </xf>
    <xf numFmtId="49" fontId="14" fillId="27" borderId="35" xfId="1026" applyNumberFormat="1" applyFont="1" applyFill="1" applyBorder="1" applyAlignment="1">
      <alignment horizontal="center" vertical="center" wrapText="1"/>
    </xf>
    <xf numFmtId="168" fontId="28" fillId="27" borderId="35" xfId="1026" applyNumberFormat="1" applyFont="1" applyFill="1" applyBorder="1" applyAlignment="1">
      <alignment horizontal="center" vertical="center" wrapText="1"/>
    </xf>
    <xf numFmtId="168" fontId="14" fillId="27" borderId="30" xfId="1026" applyNumberFormat="1" applyFont="1" applyFill="1" applyBorder="1" applyAlignment="1">
      <alignment horizontal="center" vertical="center"/>
    </xf>
    <xf numFmtId="168" fontId="14" fillId="27" borderId="35" xfId="1026" applyNumberFormat="1" applyFont="1" applyFill="1" applyBorder="1" applyAlignment="1">
      <alignment horizontal="center" vertical="center"/>
    </xf>
    <xf numFmtId="0" fontId="2" fillId="27" borderId="30" xfId="0" applyFont="1" applyFill="1" applyBorder="1" applyAlignment="1">
      <alignment horizontal="center" vertical="center"/>
    </xf>
    <xf numFmtId="0" fontId="2" fillId="27" borderId="36" xfId="0" applyFont="1" applyFill="1" applyBorder="1" applyAlignment="1">
      <alignment horizontal="center" vertical="center"/>
    </xf>
    <xf numFmtId="0" fontId="12" fillId="27" borderId="22" xfId="0" applyFont="1" applyFill="1" applyBorder="1" applyAlignment="1">
      <alignment horizontal="center" vertical="center"/>
    </xf>
    <xf numFmtId="0" fontId="12" fillId="27" borderId="0" xfId="0" applyFont="1" applyFill="1" applyBorder="1" applyAlignment="1">
      <alignment horizontal="center" vertical="center"/>
    </xf>
    <xf numFmtId="168" fontId="12" fillId="27" borderId="0" xfId="0" applyNumberFormat="1" applyFont="1" applyFill="1" applyBorder="1" applyAlignment="1">
      <alignment horizontal="center" vertical="center"/>
    </xf>
    <xf numFmtId="0" fontId="12" fillId="27" borderId="39" xfId="0" applyFont="1" applyFill="1" applyBorder="1" applyAlignment="1">
      <alignment horizontal="center" vertical="center"/>
    </xf>
    <xf numFmtId="168" fontId="12" fillId="27" borderId="22" xfId="0" applyNumberFormat="1" applyFont="1" applyFill="1" applyBorder="1" applyAlignment="1">
      <alignment horizontal="center" vertical="center"/>
    </xf>
    <xf numFmtId="1" fontId="12" fillId="27" borderId="0" xfId="0" applyNumberFormat="1" applyFont="1" applyFill="1" applyBorder="1" applyAlignment="1">
      <alignment horizontal="center" vertical="center"/>
    </xf>
    <xf numFmtId="166" fontId="14" fillId="27" borderId="41" xfId="1040" applyNumberFormat="1" applyFont="1" applyFill="1" applyBorder="1" applyAlignment="1" applyProtection="1">
      <alignment horizontal="center" vertical="center"/>
    </xf>
    <xf numFmtId="166" fontId="14" fillId="27" borderId="11" xfId="1040" applyNumberFormat="1" applyFont="1" applyFill="1" applyBorder="1" applyAlignment="1" applyProtection="1">
      <alignment horizontal="center" vertical="center"/>
    </xf>
    <xf numFmtId="1" fontId="14" fillId="27" borderId="11" xfId="1026" applyNumberFormat="1" applyFont="1" applyFill="1" applyBorder="1" applyAlignment="1">
      <alignment horizontal="center" vertical="center" wrapText="1"/>
    </xf>
    <xf numFmtId="168" fontId="14" fillId="27" borderId="11" xfId="1026" applyNumberFormat="1" applyFont="1" applyFill="1" applyBorder="1" applyAlignment="1">
      <alignment horizontal="center" vertical="center"/>
    </xf>
    <xf numFmtId="1" fontId="14" fillId="27" borderId="16" xfId="1026" applyNumberFormat="1" applyFont="1" applyFill="1" applyBorder="1" applyAlignment="1">
      <alignment horizontal="center" vertical="center" wrapText="1"/>
    </xf>
    <xf numFmtId="0" fontId="12" fillId="27" borderId="15" xfId="0" applyFont="1" applyFill="1" applyBorder="1" applyAlignment="1">
      <alignment horizontal="center" vertical="center" wrapText="1"/>
    </xf>
    <xf numFmtId="1" fontId="12" fillId="27" borderId="11" xfId="0" applyNumberFormat="1" applyFont="1" applyFill="1" applyBorder="1" applyAlignment="1">
      <alignment horizontal="center" vertical="center" wrapText="1"/>
    </xf>
    <xf numFmtId="0" fontId="12" fillId="27" borderId="11" xfId="0" applyFont="1" applyFill="1" applyBorder="1" applyAlignment="1">
      <alignment horizontal="center" vertical="center" wrapText="1"/>
    </xf>
    <xf numFmtId="1" fontId="12" fillId="27" borderId="47" xfId="0" applyNumberFormat="1" applyFont="1" applyFill="1" applyBorder="1" applyAlignment="1">
      <alignment horizontal="center" vertical="center" wrapText="1"/>
    </xf>
    <xf numFmtId="49" fontId="14" fillId="27" borderId="88" xfId="1026" applyNumberFormat="1" applyFont="1" applyFill="1" applyBorder="1" applyAlignment="1">
      <alignment horizontal="center" vertical="center" wrapText="1"/>
    </xf>
    <xf numFmtId="0" fontId="14" fillId="27" borderId="24" xfId="0" applyNumberFormat="1" applyFont="1" applyFill="1" applyBorder="1" applyAlignment="1">
      <alignment horizontal="center" vertical="center"/>
    </xf>
    <xf numFmtId="166" fontId="14" fillId="27" borderId="25" xfId="1026" applyNumberFormat="1" applyFont="1" applyFill="1" applyBorder="1" applyAlignment="1">
      <alignment horizontal="center" vertical="center"/>
    </xf>
    <xf numFmtId="168" fontId="14" fillId="27" borderId="25" xfId="1040" applyNumberFormat="1" applyFont="1" applyFill="1" applyBorder="1" applyAlignment="1" applyProtection="1">
      <alignment horizontal="center" vertical="center"/>
    </xf>
    <xf numFmtId="168" fontId="14" fillId="27" borderId="24" xfId="0" applyNumberFormat="1" applyFont="1" applyFill="1" applyBorder="1" applyAlignment="1">
      <alignment horizontal="center" vertical="center"/>
    </xf>
    <xf numFmtId="1" fontId="14" fillId="27" borderId="35" xfId="1040" applyNumberFormat="1" applyFont="1" applyFill="1" applyBorder="1" applyAlignment="1" applyProtection="1">
      <alignment horizontal="center" vertical="center" wrapText="1"/>
    </xf>
    <xf numFmtId="1" fontId="14" fillId="0" borderId="30" xfId="1040" applyNumberFormat="1" applyFont="1" applyFill="1" applyBorder="1" applyAlignment="1" applyProtection="1">
      <alignment horizontal="center" vertical="center" wrapText="1"/>
    </xf>
    <xf numFmtId="168" fontId="27" fillId="0" borderId="89" xfId="1026" applyNumberFormat="1" applyFont="1" applyFill="1" applyBorder="1" applyAlignment="1">
      <alignment horizontal="left" vertical="center" wrapText="1"/>
    </xf>
    <xf numFmtId="1" fontId="14" fillId="0" borderId="57" xfId="1026" applyNumberFormat="1" applyFont="1" applyFill="1" applyBorder="1" applyAlignment="1">
      <alignment horizontal="center" vertical="center"/>
    </xf>
    <xf numFmtId="0" fontId="1" fillId="0" borderId="34" xfId="0" applyFont="1" applyFill="1" applyBorder="1"/>
    <xf numFmtId="0" fontId="1" fillId="0" borderId="90" xfId="0" applyFont="1" applyFill="1" applyBorder="1"/>
    <xf numFmtId="168" fontId="14" fillId="0" borderId="25" xfId="0" applyNumberFormat="1" applyFont="1" applyFill="1" applyBorder="1" applyAlignment="1">
      <alignment horizontal="center" vertical="center" wrapText="1"/>
    </xf>
    <xf numFmtId="166" fontId="14" fillId="0" borderId="25" xfId="1026" applyNumberFormat="1" applyFont="1" applyFill="1" applyBorder="1" applyAlignment="1">
      <alignment horizontal="center" vertical="center" wrapText="1"/>
    </xf>
    <xf numFmtId="0" fontId="27" fillId="0" borderId="35" xfId="0" applyFont="1" applyFill="1" applyBorder="1" applyAlignment="1">
      <alignment horizontal="left" vertical="center" wrapText="1"/>
    </xf>
    <xf numFmtId="168" fontId="28" fillId="0" borderId="89" xfId="1026" applyNumberFormat="1" applyFont="1" applyFill="1" applyBorder="1" applyAlignment="1">
      <alignment horizontal="center" vertical="center" wrapText="1"/>
    </xf>
    <xf numFmtId="1" fontId="14" fillId="0" borderId="34" xfId="1026" applyNumberFormat="1" applyFont="1" applyFill="1" applyBorder="1" applyAlignment="1">
      <alignment horizontal="center" vertical="center"/>
    </xf>
    <xf numFmtId="1" fontId="14" fillId="0" borderId="90" xfId="1026" applyNumberFormat="1" applyFont="1" applyFill="1" applyBorder="1" applyAlignment="1">
      <alignment horizontal="center" vertical="center"/>
    </xf>
    <xf numFmtId="0" fontId="12" fillId="26" borderId="91" xfId="0" applyFont="1" applyFill="1" applyBorder="1" applyAlignment="1">
      <alignment horizontal="center"/>
    </xf>
    <xf numFmtId="0" fontId="12" fillId="26" borderId="11" xfId="0" applyFont="1" applyFill="1" applyBorder="1" applyAlignment="1">
      <alignment horizontal="center"/>
    </xf>
    <xf numFmtId="0" fontId="12" fillId="26" borderId="74" xfId="0" applyFont="1" applyFill="1" applyBorder="1" applyAlignment="1">
      <alignment horizontal="center"/>
    </xf>
    <xf numFmtId="1" fontId="12" fillId="26" borderId="71" xfId="0" applyNumberFormat="1" applyFont="1" applyFill="1" applyBorder="1" applyAlignment="1">
      <alignment horizontal="center"/>
    </xf>
    <xf numFmtId="1" fontId="12" fillId="26" borderId="69" xfId="0" applyNumberFormat="1" applyFont="1" applyFill="1" applyBorder="1" applyAlignment="1">
      <alignment horizontal="center"/>
    </xf>
    <xf numFmtId="0" fontId="31" fillId="26" borderId="92" xfId="0" applyFont="1" applyFill="1" applyBorder="1"/>
    <xf numFmtId="0" fontId="31" fillId="26" borderId="10" xfId="0" applyFont="1" applyFill="1" applyBorder="1"/>
    <xf numFmtId="3" fontId="12" fillId="26" borderId="10" xfId="0" applyNumberFormat="1" applyFont="1" applyFill="1" applyBorder="1" applyAlignment="1">
      <alignment horizontal="center"/>
    </xf>
    <xf numFmtId="3" fontId="12" fillId="26" borderId="93" xfId="0" applyNumberFormat="1" applyFont="1" applyFill="1" applyBorder="1" applyAlignment="1">
      <alignment horizontal="center"/>
    </xf>
    <xf numFmtId="0" fontId="12" fillId="26" borderId="92" xfId="0" applyFont="1" applyFill="1" applyBorder="1"/>
    <xf numFmtId="0" fontId="12" fillId="26" borderId="10" xfId="0" applyFont="1" applyFill="1" applyBorder="1"/>
    <xf numFmtId="0" fontId="12" fillId="26" borderId="70" xfId="0" applyFont="1" applyFill="1" applyBorder="1"/>
    <xf numFmtId="0" fontId="12" fillId="25" borderId="94" xfId="0" applyFont="1" applyFill="1" applyBorder="1"/>
    <xf numFmtId="0" fontId="12" fillId="25" borderId="49" xfId="0" applyFont="1" applyFill="1" applyBorder="1"/>
    <xf numFmtId="0" fontId="12" fillId="25" borderId="17" xfId="0" applyFont="1" applyFill="1" applyBorder="1"/>
    <xf numFmtId="0" fontId="12" fillId="25" borderId="95" xfId="0" applyFont="1" applyFill="1" applyBorder="1" applyAlignment="1">
      <alignment horizontal="center"/>
    </xf>
    <xf numFmtId="0" fontId="31" fillId="25" borderId="41" xfId="0" applyFont="1" applyFill="1" applyBorder="1"/>
    <xf numFmtId="0" fontId="12" fillId="25" borderId="11" xfId="0" applyFont="1" applyFill="1" applyBorder="1"/>
    <xf numFmtId="0" fontId="12" fillId="25" borderId="41" xfId="0" applyFont="1" applyFill="1" applyBorder="1"/>
    <xf numFmtId="0" fontId="1" fillId="0" borderId="17" xfId="0" applyFont="1" applyBorder="1"/>
    <xf numFmtId="0" fontId="8" fillId="0" borderId="37" xfId="0" applyFont="1" applyFill="1" applyBorder="1"/>
    <xf numFmtId="0" fontId="8" fillId="0" borderId="38" xfId="0" applyFont="1" applyFill="1" applyBorder="1"/>
    <xf numFmtId="0" fontId="8" fillId="0" borderId="40" xfId="0" applyFont="1" applyFill="1" applyBorder="1"/>
    <xf numFmtId="0" fontId="1" fillId="0" borderId="56" xfId="0" applyFont="1" applyBorder="1"/>
    <xf numFmtId="0" fontId="8" fillId="0" borderId="56" xfId="0" applyFont="1" applyFill="1" applyBorder="1"/>
    <xf numFmtId="0" fontId="14" fillId="0" borderId="23" xfId="1025" applyFont="1" applyFill="1" applyBorder="1" applyAlignment="1">
      <alignment horizontal="center" vertical="center" wrapText="1"/>
    </xf>
    <xf numFmtId="168" fontId="14" fillId="0" borderId="63" xfId="0" applyNumberFormat="1" applyFont="1" applyFill="1" applyBorder="1" applyAlignment="1">
      <alignment horizontal="center" vertical="center" wrapText="1"/>
    </xf>
    <xf numFmtId="1" fontId="14" fillId="0" borderId="35" xfId="1040" applyNumberFormat="1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168" fontId="28" fillId="0" borderId="45" xfId="1026" applyNumberFormat="1" applyFont="1" applyFill="1" applyBorder="1" applyAlignment="1">
      <alignment horizontal="center" vertical="center" wrapText="1"/>
    </xf>
    <xf numFmtId="16" fontId="27" fillId="0" borderId="52" xfId="0" applyNumberFormat="1" applyFont="1" applyFill="1" applyBorder="1" applyAlignment="1">
      <alignment horizontal="left" vertical="center" wrapText="1"/>
    </xf>
    <xf numFmtId="168" fontId="28" fillId="0" borderId="52" xfId="1026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11" xfId="0" applyFont="1" applyFill="1" applyBorder="1"/>
    <xf numFmtId="0" fontId="2" fillId="0" borderId="18" xfId="0" applyFont="1" applyFill="1" applyBorder="1"/>
    <xf numFmtId="0" fontId="12" fillId="26" borderId="77" xfId="0" applyFont="1" applyFill="1" applyBorder="1" applyAlignment="1">
      <alignment horizontal="center"/>
    </xf>
    <xf numFmtId="0" fontId="12" fillId="26" borderId="71" xfId="0" applyFont="1" applyFill="1" applyBorder="1" applyAlignment="1">
      <alignment horizontal="center"/>
    </xf>
    <xf numFmtId="0" fontId="12" fillId="26" borderId="96" xfId="0" applyFont="1" applyFill="1" applyBorder="1"/>
    <xf numFmtId="0" fontId="12" fillId="26" borderId="41" xfId="0" applyFont="1" applyFill="1" applyBorder="1" applyAlignment="1">
      <alignment horizontal="center" vertical="center" wrapText="1"/>
    </xf>
    <xf numFmtId="1" fontId="12" fillId="26" borderId="15" xfId="0" applyNumberFormat="1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vertical="center" wrapText="1"/>
    </xf>
    <xf numFmtId="0" fontId="1" fillId="0" borderId="17" xfId="0" applyFont="1" applyFill="1" applyBorder="1"/>
    <xf numFmtId="0" fontId="1" fillId="0" borderId="18" xfId="0" applyFont="1" applyFill="1" applyBorder="1"/>
    <xf numFmtId="1" fontId="14" fillId="0" borderId="42" xfId="1026" applyNumberFormat="1" applyFont="1" applyFill="1" applyBorder="1" applyAlignment="1">
      <alignment horizontal="center" vertical="center" wrapText="1"/>
    </xf>
    <xf numFmtId="0" fontId="14" fillId="0" borderId="25" xfId="0" applyNumberFormat="1" applyFont="1" applyFill="1" applyBorder="1" applyAlignment="1">
      <alignment horizontal="center" vertical="center"/>
    </xf>
    <xf numFmtId="0" fontId="14" fillId="0" borderId="60" xfId="0" applyNumberFormat="1" applyFont="1" applyFill="1" applyBorder="1" applyAlignment="1">
      <alignment horizontal="center" vertical="center"/>
    </xf>
    <xf numFmtId="0" fontId="14" fillId="0" borderId="97" xfId="0" applyFont="1" applyFill="1" applyBorder="1" applyAlignment="1">
      <alignment horizontal="center" vertical="center"/>
    </xf>
    <xf numFmtId="0" fontId="14" fillId="0" borderId="29" xfId="1026" applyFont="1" applyFill="1" applyBorder="1" applyAlignment="1">
      <alignment horizontal="center" vertical="center"/>
    </xf>
    <xf numFmtId="0" fontId="27" fillId="0" borderId="34" xfId="1026" applyFont="1" applyFill="1" applyBorder="1" applyAlignment="1">
      <alignment horizontal="left" vertical="center" wrapText="1"/>
    </xf>
    <xf numFmtId="0" fontId="14" fillId="0" borderId="34" xfId="0" applyFont="1" applyFill="1" applyBorder="1" applyAlignment="1">
      <alignment horizontal="left" vertical="center" wrapText="1"/>
    </xf>
    <xf numFmtId="0" fontId="27" fillId="0" borderId="34" xfId="0" applyFont="1" applyFill="1" applyBorder="1" applyAlignment="1">
      <alignment horizontal="left" vertical="center" wrapText="1"/>
    </xf>
    <xf numFmtId="49" fontId="14" fillId="0" borderId="98" xfId="1026" applyNumberFormat="1" applyFont="1" applyFill="1" applyBorder="1" applyAlignment="1">
      <alignment horizontal="center" vertical="center" wrapText="1"/>
    </xf>
    <xf numFmtId="168" fontId="27" fillId="0" borderId="35" xfId="1026" applyNumberFormat="1" applyFont="1" applyFill="1" applyBorder="1" applyAlignment="1">
      <alignment horizontal="center" vertical="center" wrapText="1"/>
    </xf>
    <xf numFmtId="0" fontId="14" fillId="0" borderId="35" xfId="1026" applyFont="1" applyFill="1" applyBorder="1" applyAlignment="1">
      <alignment horizontal="center" vertical="center" wrapText="1"/>
    </xf>
    <xf numFmtId="9" fontId="14" fillId="0" borderId="24" xfId="0" applyNumberFormat="1" applyFont="1" applyFill="1" applyBorder="1" applyAlignment="1">
      <alignment horizontal="center" vertical="center" wrapText="1"/>
    </xf>
    <xf numFmtId="1" fontId="14" fillId="0" borderId="63" xfId="1026" applyNumberFormat="1" applyFont="1" applyFill="1" applyBorder="1" applyAlignment="1">
      <alignment horizontal="center" vertical="center"/>
    </xf>
    <xf numFmtId="168" fontId="28" fillId="0" borderId="34" xfId="1026" applyNumberFormat="1" applyFont="1" applyFill="1" applyBorder="1" applyAlignment="1">
      <alignment horizontal="center" vertical="center" wrapText="1"/>
    </xf>
    <xf numFmtId="168" fontId="14" fillId="0" borderId="18" xfId="1026" applyNumberFormat="1" applyFont="1" applyFill="1" applyBorder="1" applyAlignment="1">
      <alignment horizontal="center" vertical="center"/>
    </xf>
    <xf numFmtId="1" fontId="14" fillId="24" borderId="25" xfId="0" applyNumberFormat="1" applyFont="1" applyFill="1" applyBorder="1" applyAlignment="1">
      <alignment horizontal="center" vertical="center"/>
    </xf>
    <xf numFmtId="0" fontId="14" fillId="24" borderId="25" xfId="1026" applyFont="1" applyFill="1" applyBorder="1" applyAlignment="1">
      <alignment horizontal="center" vertical="center"/>
    </xf>
    <xf numFmtId="166" fontId="12" fillId="24" borderId="41" xfId="1040" applyNumberFormat="1" applyFont="1" applyFill="1" applyBorder="1" applyAlignment="1" applyProtection="1">
      <alignment horizontal="center" vertical="center"/>
    </xf>
    <xf numFmtId="166" fontId="12" fillId="24" borderId="11" xfId="1040" applyNumberFormat="1" applyFont="1" applyFill="1" applyBorder="1" applyAlignment="1" applyProtection="1">
      <alignment horizontal="center" vertical="center"/>
    </xf>
    <xf numFmtId="1" fontId="12" fillId="24" borderId="11" xfId="1026" applyNumberFormat="1" applyFont="1" applyFill="1" applyBorder="1" applyAlignment="1">
      <alignment horizontal="center" vertical="center"/>
    </xf>
    <xf numFmtId="1" fontId="12" fillId="24" borderId="16" xfId="1026" applyNumberFormat="1" applyFont="1" applyFill="1" applyBorder="1" applyAlignment="1">
      <alignment horizontal="center" vertical="center" wrapText="1"/>
    </xf>
    <xf numFmtId="1" fontId="14" fillId="0" borderId="23" xfId="1025" applyNumberFormat="1" applyFont="1" applyFill="1" applyBorder="1" applyAlignment="1">
      <alignment horizontal="center" vertical="center" wrapText="1"/>
    </xf>
    <xf numFmtId="16" fontId="27" fillId="0" borderId="34" xfId="0" applyNumberFormat="1" applyFont="1" applyFill="1" applyBorder="1" applyAlignment="1">
      <alignment horizontal="left" vertical="center" wrapText="1"/>
    </xf>
    <xf numFmtId="49" fontId="14" fillId="0" borderId="34" xfId="1026" applyNumberFormat="1" applyFont="1" applyFill="1" applyBorder="1" applyAlignment="1">
      <alignment horizontal="center" vertical="center" wrapText="1"/>
    </xf>
    <xf numFmtId="168" fontId="14" fillId="0" borderId="34" xfId="1026" applyNumberFormat="1" applyFont="1" applyFill="1" applyBorder="1" applyAlignment="1">
      <alignment horizontal="center" vertical="center" wrapText="1"/>
    </xf>
    <xf numFmtId="1" fontId="14" fillId="0" borderId="55" xfId="1026" applyNumberFormat="1" applyFont="1" applyFill="1" applyBorder="1" applyAlignment="1">
      <alignment horizontal="center" vertical="center"/>
    </xf>
    <xf numFmtId="1" fontId="14" fillId="0" borderId="13" xfId="1026" applyNumberFormat="1" applyFont="1" applyFill="1" applyBorder="1" applyAlignment="1">
      <alignment horizontal="center" vertical="center"/>
    </xf>
    <xf numFmtId="168" fontId="14" fillId="0" borderId="13" xfId="1026" applyNumberFormat="1" applyFont="1" applyFill="1" applyBorder="1" applyAlignment="1">
      <alignment horizontal="center" vertical="center"/>
    </xf>
    <xf numFmtId="1" fontId="12" fillId="0" borderId="37" xfId="0" applyNumberFormat="1" applyFont="1" applyFill="1" applyBorder="1" applyAlignment="1">
      <alignment horizontal="center" vertical="center"/>
    </xf>
    <xf numFmtId="1" fontId="12" fillId="0" borderId="40" xfId="0" applyNumberFormat="1" applyFont="1" applyFill="1" applyBorder="1" applyAlignment="1">
      <alignment horizontal="center" vertical="center"/>
    </xf>
    <xf numFmtId="168" fontId="14" fillId="0" borderId="47" xfId="1026" applyNumberFormat="1" applyFont="1" applyFill="1" applyBorder="1" applyAlignment="1">
      <alignment horizontal="center" vertical="center"/>
    </xf>
    <xf numFmtId="0" fontId="12" fillId="25" borderId="15" xfId="0" applyFont="1" applyFill="1" applyBorder="1"/>
    <xf numFmtId="1" fontId="12" fillId="0" borderId="67" xfId="0" applyNumberFormat="1" applyFont="1" applyFill="1" applyBorder="1" applyAlignment="1">
      <alignment horizontal="center" vertical="center"/>
    </xf>
    <xf numFmtId="0" fontId="14" fillId="0" borderId="32" xfId="1026" applyFont="1" applyFill="1" applyBorder="1" applyAlignment="1">
      <alignment horizontal="center" vertical="center"/>
    </xf>
    <xf numFmtId="1" fontId="14" fillId="0" borderId="34" xfId="0" applyNumberFormat="1" applyFont="1" applyFill="1" applyBorder="1" applyAlignment="1">
      <alignment horizontal="center" vertical="center" wrapText="1"/>
    </xf>
    <xf numFmtId="0" fontId="28" fillId="0" borderId="34" xfId="1026" applyFont="1" applyFill="1" applyBorder="1" applyAlignment="1">
      <alignment horizontal="center" vertical="center" wrapText="1"/>
    </xf>
    <xf numFmtId="9" fontId="14" fillId="0" borderId="25" xfId="0" applyNumberFormat="1" applyFont="1" applyFill="1" applyBorder="1" applyAlignment="1">
      <alignment horizontal="center" vertical="center" wrapText="1"/>
    </xf>
    <xf numFmtId="166" fontId="14" fillId="0" borderId="99" xfId="1040" applyNumberFormat="1" applyFont="1" applyFill="1" applyBorder="1" applyAlignment="1" applyProtection="1">
      <alignment horizontal="center" vertical="center"/>
    </xf>
    <xf numFmtId="1" fontId="14" fillId="0" borderId="99" xfId="1040" applyNumberFormat="1" applyFont="1" applyFill="1" applyBorder="1" applyAlignment="1" applyProtection="1">
      <alignment horizontal="center" vertical="center"/>
    </xf>
    <xf numFmtId="0" fontId="14" fillId="0" borderId="24" xfId="1026" applyNumberFormat="1" applyFont="1" applyFill="1" applyBorder="1" applyAlignment="1">
      <alignment horizontal="center" vertical="center"/>
    </xf>
    <xf numFmtId="0" fontId="28" fillId="0" borderId="35" xfId="1026" applyFont="1" applyFill="1" applyBorder="1" applyAlignment="1">
      <alignment horizontal="center" vertical="center" wrapText="1"/>
    </xf>
    <xf numFmtId="0" fontId="28" fillId="0" borderId="35" xfId="0" applyFont="1" applyFill="1" applyBorder="1" applyAlignment="1">
      <alignment horizontal="center" vertical="center" wrapText="1"/>
    </xf>
    <xf numFmtId="1" fontId="14" fillId="26" borderId="74" xfId="1026" applyNumberFormat="1" applyFont="1" applyFill="1" applyBorder="1" applyAlignment="1">
      <alignment horizontal="center" vertical="center"/>
    </xf>
    <xf numFmtId="0" fontId="12" fillId="26" borderId="13" xfId="0" applyFont="1" applyFill="1" applyBorder="1" applyAlignment="1">
      <alignment vertical="center"/>
    </xf>
    <xf numFmtId="0" fontId="1" fillId="26" borderId="15" xfId="0" applyFont="1" applyFill="1" applyBorder="1"/>
    <xf numFmtId="0" fontId="1" fillId="25" borderId="47" xfId="0" applyFont="1" applyFill="1" applyBorder="1"/>
    <xf numFmtId="0" fontId="21" fillId="0" borderId="56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/>
    </xf>
    <xf numFmtId="3" fontId="4" fillId="0" borderId="18" xfId="0" applyNumberFormat="1" applyFont="1" applyFill="1" applyBorder="1" applyAlignment="1">
      <alignment horizontal="center"/>
    </xf>
    <xf numFmtId="3" fontId="4" fillId="0" borderId="56" xfId="0" applyNumberFormat="1" applyFont="1" applyFill="1" applyBorder="1" applyAlignment="1">
      <alignment horizontal="center"/>
    </xf>
    <xf numFmtId="3" fontId="4" fillId="0" borderId="17" xfId="0" applyNumberFormat="1" applyFont="1" applyFill="1" applyBorder="1" applyAlignment="1">
      <alignment horizontal="center"/>
    </xf>
    <xf numFmtId="166" fontId="14" fillId="0" borderId="99" xfId="1040" applyNumberFormat="1" applyFont="1" applyFill="1" applyBorder="1" applyAlignment="1" applyProtection="1">
      <alignment horizontal="center" vertical="center" wrapText="1"/>
    </xf>
    <xf numFmtId="1" fontId="32" fillId="0" borderId="25" xfId="1026" applyNumberFormat="1" applyFont="1" applyFill="1" applyBorder="1" applyAlignment="1">
      <alignment horizontal="center" vertical="center"/>
    </xf>
    <xf numFmtId="16" fontId="27" fillId="0" borderId="100" xfId="0" applyNumberFormat="1" applyFont="1" applyFill="1" applyBorder="1" applyAlignment="1">
      <alignment horizontal="left" vertical="center" wrapText="1"/>
    </xf>
    <xf numFmtId="49" fontId="14" fillId="0" borderId="100" xfId="1026" applyNumberFormat="1" applyFont="1" applyFill="1" applyBorder="1" applyAlignment="1">
      <alignment horizontal="center" vertical="center" wrapText="1"/>
    </xf>
    <xf numFmtId="168" fontId="27" fillId="0" borderId="100" xfId="1026" applyNumberFormat="1" applyFont="1" applyFill="1" applyBorder="1" applyAlignment="1">
      <alignment horizontal="left" vertical="center" wrapText="1"/>
    </xf>
    <xf numFmtId="1" fontId="14" fillId="0" borderId="100" xfId="1026" applyNumberFormat="1" applyFont="1" applyFill="1" applyBorder="1" applyAlignment="1">
      <alignment horizontal="center" vertical="center"/>
    </xf>
    <xf numFmtId="1" fontId="14" fillId="0" borderId="101" xfId="1026" applyNumberFormat="1" applyFont="1" applyFill="1" applyBorder="1" applyAlignment="1">
      <alignment horizontal="center" vertical="center"/>
    </xf>
    <xf numFmtId="1" fontId="32" fillId="0" borderId="11" xfId="1026" applyNumberFormat="1" applyFont="1" applyFill="1" applyBorder="1" applyAlignment="1">
      <alignment horizontal="center" vertical="center" wrapText="1"/>
    </xf>
    <xf numFmtId="168" fontId="14" fillId="0" borderId="25" xfId="1026" applyNumberFormat="1" applyFont="1" applyFill="1" applyBorder="1" applyAlignment="1">
      <alignment horizontal="center" vertical="center" wrapText="1"/>
    </xf>
    <xf numFmtId="0" fontId="14" fillId="0" borderId="63" xfId="1026" applyFont="1" applyFill="1" applyBorder="1" applyAlignment="1">
      <alignment horizontal="center" vertical="center" wrapText="1"/>
    </xf>
    <xf numFmtId="1" fontId="14" fillId="0" borderId="99" xfId="1026" applyNumberFormat="1" applyFont="1" applyFill="1" applyBorder="1" applyAlignment="1">
      <alignment horizontal="center" vertical="center"/>
    </xf>
    <xf numFmtId="0" fontId="27" fillId="0" borderId="52" xfId="0" applyFont="1" applyFill="1" applyBorder="1" applyAlignment="1">
      <alignment horizontal="left" vertical="center" wrapText="1"/>
    </xf>
    <xf numFmtId="0" fontId="14" fillId="0" borderId="52" xfId="0" applyFont="1" applyFill="1" applyBorder="1" applyAlignment="1">
      <alignment horizontal="left" vertical="center" wrapText="1"/>
    </xf>
    <xf numFmtId="0" fontId="1" fillId="0" borderId="14" xfId="0" applyFont="1" applyBorder="1"/>
    <xf numFmtId="1" fontId="12" fillId="0" borderId="56" xfId="0" applyNumberFormat="1" applyFont="1" applyFill="1" applyBorder="1" applyAlignment="1">
      <alignment horizontal="center" vertical="center"/>
    </xf>
    <xf numFmtId="1" fontId="12" fillId="0" borderId="18" xfId="0" applyNumberFormat="1" applyFont="1" applyFill="1" applyBorder="1" applyAlignment="1">
      <alignment horizontal="center" vertical="center"/>
    </xf>
    <xf numFmtId="0" fontId="12" fillId="26" borderId="56" xfId="0" applyFont="1" applyFill="1" applyBorder="1" applyAlignment="1">
      <alignment horizontal="center" vertical="center"/>
    </xf>
    <xf numFmtId="1" fontId="12" fillId="26" borderId="17" xfId="0" applyNumberFormat="1" applyFont="1" applyFill="1" applyBorder="1" applyAlignment="1">
      <alignment horizontal="center" vertical="center"/>
    </xf>
    <xf numFmtId="0" fontId="12" fillId="26" borderId="17" xfId="0" applyFont="1" applyFill="1" applyBorder="1" applyAlignment="1">
      <alignment horizontal="center" vertical="center"/>
    </xf>
    <xf numFmtId="168" fontId="12" fillId="26" borderId="17" xfId="0" applyNumberFormat="1" applyFont="1" applyFill="1" applyBorder="1" applyAlignment="1">
      <alignment horizontal="center" vertical="center"/>
    </xf>
    <xf numFmtId="0" fontId="12" fillId="26" borderId="18" xfId="0" applyFont="1" applyFill="1" applyBorder="1" applyAlignment="1">
      <alignment horizontal="center" vertical="center"/>
    </xf>
    <xf numFmtId="0" fontId="12" fillId="26" borderId="56" xfId="0" applyFont="1" applyFill="1" applyBorder="1"/>
    <xf numFmtId="0" fontId="1" fillId="26" borderId="17" xfId="0" applyFont="1" applyFill="1" applyBorder="1"/>
    <xf numFmtId="166" fontId="14" fillId="25" borderId="102" xfId="1040" applyNumberFormat="1" applyFont="1" applyFill="1" applyBorder="1" applyAlignment="1" applyProtection="1">
      <alignment horizontal="center" vertical="center"/>
    </xf>
    <xf numFmtId="1" fontId="12" fillId="25" borderId="38" xfId="0" applyNumberFormat="1" applyFont="1" applyFill="1" applyBorder="1" applyAlignment="1">
      <alignment horizontal="center" vertical="center"/>
    </xf>
    <xf numFmtId="0" fontId="33" fillId="0" borderId="17" xfId="1026" applyFont="1" applyFill="1" applyBorder="1" applyAlignment="1">
      <alignment vertical="center" wrapText="1"/>
    </xf>
    <xf numFmtId="1" fontId="12" fillId="0" borderId="38" xfId="0" applyNumberFormat="1" applyFont="1" applyFill="1" applyBorder="1" applyAlignment="1">
      <alignment horizontal="center" vertical="center"/>
    </xf>
    <xf numFmtId="166" fontId="14" fillId="0" borderId="61" xfId="1025" applyNumberFormat="1" applyFont="1" applyFill="1" applyBorder="1" applyAlignment="1">
      <alignment horizontal="center" vertical="center" wrapText="1"/>
    </xf>
    <xf numFmtId="1" fontId="14" fillId="26" borderId="11" xfId="1026" applyNumberFormat="1" applyFont="1" applyFill="1" applyBorder="1" applyAlignment="1">
      <alignment vertical="center"/>
    </xf>
    <xf numFmtId="0" fontId="14" fillId="25" borderId="78" xfId="1026" applyFont="1" applyFill="1" applyBorder="1" applyAlignment="1">
      <alignment horizontal="center" vertical="center"/>
    </xf>
    <xf numFmtId="0" fontId="14" fillId="0" borderId="68" xfId="1026" applyFont="1" applyFill="1" applyBorder="1" applyAlignment="1">
      <alignment horizontal="center" vertical="center" wrapText="1"/>
    </xf>
    <xf numFmtId="0" fontId="14" fillId="0" borderId="70" xfId="1026" applyFont="1" applyFill="1" applyBorder="1" applyAlignment="1">
      <alignment horizontal="center" vertical="center"/>
    </xf>
    <xf numFmtId="1" fontId="14" fillId="0" borderId="70" xfId="1026" applyNumberFormat="1" applyFont="1" applyFill="1" applyBorder="1" applyAlignment="1">
      <alignment horizontal="center" vertical="center"/>
    </xf>
    <xf numFmtId="168" fontId="14" fillId="0" borderId="70" xfId="1026" applyNumberFormat="1" applyFont="1" applyFill="1" applyBorder="1" applyAlignment="1">
      <alignment horizontal="center" vertical="center"/>
    </xf>
    <xf numFmtId="166" fontId="14" fillId="0" borderId="70" xfId="1026" applyNumberFormat="1" applyFont="1" applyFill="1" applyBorder="1" applyAlignment="1">
      <alignment horizontal="center" vertical="center"/>
    </xf>
    <xf numFmtId="9" fontId="14" fillId="0" borderId="70" xfId="1026" applyNumberFormat="1" applyFont="1" applyFill="1" applyBorder="1" applyAlignment="1">
      <alignment horizontal="center" vertical="center"/>
    </xf>
    <xf numFmtId="1" fontId="14" fillId="0" borderId="103" xfId="1026" applyNumberFormat="1" applyFont="1" applyFill="1" applyBorder="1" applyAlignment="1">
      <alignment horizontal="center" vertical="center"/>
    </xf>
    <xf numFmtId="0" fontId="12" fillId="0" borderId="103" xfId="0" applyFont="1" applyFill="1" applyBorder="1"/>
    <xf numFmtId="0" fontId="12" fillId="0" borderId="70" xfId="0" applyFont="1" applyFill="1" applyBorder="1"/>
    <xf numFmtId="0" fontId="1" fillId="0" borderId="70" xfId="0" applyFont="1" applyFill="1" applyBorder="1"/>
    <xf numFmtId="0" fontId="1" fillId="0" borderId="96" xfId="0" applyFont="1" applyFill="1" applyBorder="1"/>
    <xf numFmtId="0" fontId="4" fillId="0" borderId="2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/>
    </xf>
    <xf numFmtId="0" fontId="12" fillId="0" borderId="22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22" xfId="0" applyFont="1" applyFill="1" applyBorder="1"/>
    <xf numFmtId="0" fontId="1" fillId="0" borderId="0" xfId="0" applyFont="1" applyFill="1" applyBorder="1"/>
    <xf numFmtId="3" fontId="12" fillId="0" borderId="0" xfId="0" applyNumberFormat="1" applyFont="1" applyFill="1" applyBorder="1" applyAlignment="1">
      <alignment horizontal="center"/>
    </xf>
    <xf numFmtId="3" fontId="12" fillId="0" borderId="39" xfId="0" applyNumberFormat="1" applyFont="1" applyFill="1" applyBorder="1" applyAlignment="1">
      <alignment horizontal="center"/>
    </xf>
    <xf numFmtId="3" fontId="12" fillId="0" borderId="70" xfId="0" applyNumberFormat="1" applyFont="1" applyFill="1" applyBorder="1" applyAlignment="1">
      <alignment horizontal="center"/>
    </xf>
    <xf numFmtId="0" fontId="14" fillId="0" borderId="78" xfId="1026" applyFont="1" applyFill="1" applyBorder="1" applyAlignment="1">
      <alignment horizontal="center" vertical="center"/>
    </xf>
    <xf numFmtId="0" fontId="23" fillId="0" borderId="58" xfId="1026" applyFont="1" applyFill="1" applyBorder="1" applyAlignment="1">
      <alignment horizontal="left" vertical="center" wrapText="1"/>
    </xf>
    <xf numFmtId="3" fontId="4" fillId="0" borderId="40" xfId="0" applyNumberFormat="1" applyFont="1" applyFill="1" applyBorder="1" applyAlignment="1">
      <alignment horizontal="center"/>
    </xf>
    <xf numFmtId="3" fontId="4" fillId="0" borderId="37" xfId="0" applyNumberFormat="1" applyFont="1" applyFill="1" applyBorder="1" applyAlignment="1">
      <alignment horizontal="center"/>
    </xf>
    <xf numFmtId="3" fontId="4" fillId="0" borderId="38" xfId="0" applyNumberFormat="1" applyFont="1" applyFill="1" applyBorder="1" applyAlignment="1">
      <alignment horizontal="center"/>
    </xf>
    <xf numFmtId="14" fontId="1" fillId="0" borderId="0" xfId="0" applyNumberFormat="1" applyFont="1" applyFill="1"/>
    <xf numFmtId="0" fontId="14" fillId="0" borderId="24" xfId="0" applyFont="1" applyFill="1" applyBorder="1" applyAlignment="1">
      <alignment horizontal="left" vertical="center" wrapText="1"/>
    </xf>
    <xf numFmtId="0" fontId="29" fillId="0" borderId="25" xfId="1026" applyNumberFormat="1" applyFont="1" applyFill="1" applyBorder="1" applyAlignment="1">
      <alignment horizontal="center" vertical="center"/>
    </xf>
    <xf numFmtId="168" fontId="26" fillId="0" borderId="24" xfId="1040" applyNumberFormat="1" applyFont="1" applyFill="1" applyBorder="1" applyAlignment="1" applyProtection="1">
      <alignment horizontal="center" vertical="center"/>
    </xf>
    <xf numFmtId="0" fontId="29" fillId="0" borderId="24" xfId="0" applyFont="1" applyFill="1" applyBorder="1" applyAlignment="1">
      <alignment horizontal="center" vertical="center"/>
    </xf>
    <xf numFmtId="1" fontId="29" fillId="0" borderId="63" xfId="0" applyNumberFormat="1" applyFont="1" applyFill="1" applyBorder="1" applyAlignment="1">
      <alignment horizontal="center" vertical="center" wrapText="1"/>
    </xf>
    <xf numFmtId="0" fontId="14" fillId="0" borderId="34" xfId="0" applyFont="1" applyFill="1" applyBorder="1" applyAlignment="1">
      <alignment horizontal="center" vertical="center"/>
    </xf>
    <xf numFmtId="168" fontId="14" fillId="0" borderId="34" xfId="0" applyNumberFormat="1" applyFont="1" applyFill="1" applyBorder="1" applyAlignment="1">
      <alignment horizontal="center" vertical="center" wrapText="1"/>
    </xf>
    <xf numFmtId="0" fontId="14" fillId="0" borderId="57" xfId="0" applyFont="1" applyFill="1" applyBorder="1" applyAlignment="1">
      <alignment horizontal="center" vertical="center"/>
    </xf>
    <xf numFmtId="168" fontId="14" fillId="0" borderId="57" xfId="0" applyNumberFormat="1" applyFont="1" applyFill="1" applyBorder="1" applyAlignment="1">
      <alignment horizontal="center" vertical="center"/>
    </xf>
    <xf numFmtId="0" fontId="12" fillId="0" borderId="90" xfId="0" applyFont="1" applyFill="1" applyBorder="1" applyAlignment="1">
      <alignment horizontal="center" vertical="center"/>
    </xf>
    <xf numFmtId="166" fontId="14" fillId="0" borderId="104" xfId="1040" applyNumberFormat="1" applyFont="1" applyFill="1" applyBorder="1" applyAlignment="1" applyProtection="1">
      <alignment horizontal="center" vertical="center"/>
    </xf>
    <xf numFmtId="166" fontId="14" fillId="0" borderId="33" xfId="1040" applyNumberFormat="1" applyFont="1" applyFill="1" applyBorder="1" applyAlignment="1" applyProtection="1">
      <alignment horizontal="center" vertical="center"/>
    </xf>
    <xf numFmtId="1" fontId="14" fillId="0" borderId="33" xfId="1026" applyNumberFormat="1" applyFont="1" applyFill="1" applyBorder="1" applyAlignment="1">
      <alignment horizontal="center" vertical="center" wrapText="1"/>
    </xf>
    <xf numFmtId="168" fontId="14" fillId="0" borderId="33" xfId="1026" applyNumberFormat="1" applyFont="1" applyFill="1" applyBorder="1" applyAlignment="1">
      <alignment horizontal="center" vertical="center"/>
    </xf>
    <xf numFmtId="1" fontId="14" fillId="0" borderId="105" xfId="1026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2" fontId="1" fillId="0" borderId="0" xfId="0" applyNumberFormat="1" applyFont="1" applyFill="1"/>
    <xf numFmtId="0" fontId="29" fillId="0" borderId="25" xfId="1026" applyFont="1" applyFill="1" applyBorder="1" applyAlignment="1">
      <alignment horizontal="center" vertical="center" wrapText="1"/>
    </xf>
    <xf numFmtId="1" fontId="29" fillId="0" borderId="25" xfId="1026" applyNumberFormat="1" applyFont="1" applyFill="1" applyBorder="1" applyAlignment="1">
      <alignment horizontal="center" vertical="center"/>
    </xf>
    <xf numFmtId="0" fontId="29" fillId="0" borderId="25" xfId="1026" applyFont="1" applyFill="1" applyBorder="1" applyAlignment="1">
      <alignment horizontal="center" vertical="center"/>
    </xf>
    <xf numFmtId="168" fontId="26" fillId="0" borderId="32" xfId="1026" applyNumberFormat="1" applyFont="1" applyFill="1" applyBorder="1" applyAlignment="1">
      <alignment horizontal="center" vertical="center"/>
    </xf>
    <xf numFmtId="168" fontId="2" fillId="0" borderId="0" xfId="0" applyNumberFormat="1" applyFont="1" applyFill="1"/>
    <xf numFmtId="0" fontId="14" fillId="0" borderId="85" xfId="0" applyFont="1" applyFill="1" applyBorder="1" applyAlignment="1">
      <alignment horizontal="center" vertical="center"/>
    </xf>
    <xf numFmtId="0" fontId="29" fillId="0" borderId="24" xfId="1026" applyFont="1" applyFill="1" applyBorder="1" applyAlignment="1">
      <alignment horizontal="center" vertical="center"/>
    </xf>
    <xf numFmtId="0" fontId="14" fillId="0" borderId="44" xfId="0" applyFont="1" applyFill="1" applyBorder="1" applyAlignment="1">
      <alignment horizontal="center" vertical="center"/>
    </xf>
    <xf numFmtId="168" fontId="14" fillId="0" borderId="44" xfId="0" applyNumberFormat="1" applyFont="1" applyFill="1" applyBorder="1" applyAlignment="1">
      <alignment horizontal="center" vertical="center"/>
    </xf>
    <xf numFmtId="49" fontId="14" fillId="0" borderId="32" xfId="1026" applyNumberFormat="1" applyFont="1" applyFill="1" applyBorder="1" applyAlignment="1">
      <alignment horizontal="center" vertical="center" wrapText="1"/>
    </xf>
    <xf numFmtId="1" fontId="26" fillId="0" borderId="25" xfId="1040" applyNumberFormat="1" applyFont="1" applyFill="1" applyBorder="1" applyAlignment="1" applyProtection="1">
      <alignment horizontal="center" vertical="center"/>
    </xf>
    <xf numFmtId="1" fontId="14" fillId="0" borderId="27" xfId="0" applyNumberFormat="1" applyFont="1" applyFill="1" applyBorder="1" applyAlignment="1">
      <alignment horizontal="center" vertical="center" wrapText="1"/>
    </xf>
    <xf numFmtId="168" fontId="29" fillId="0" borderId="13" xfId="1026" applyNumberFormat="1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168" fontId="14" fillId="0" borderId="13" xfId="0" applyNumberFormat="1" applyFont="1" applyFill="1" applyBorder="1" applyAlignment="1">
      <alignment horizontal="center" vertical="center"/>
    </xf>
    <xf numFmtId="1" fontId="14" fillId="0" borderId="13" xfId="1026" applyNumberFormat="1" applyFont="1" applyFill="1" applyBorder="1" applyAlignment="1">
      <alignment horizontal="center" vertical="center" wrapText="1"/>
    </xf>
    <xf numFmtId="1" fontId="14" fillId="0" borderId="55" xfId="1026" applyNumberFormat="1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/>
    </xf>
    <xf numFmtId="1" fontId="26" fillId="0" borderId="24" xfId="1040" applyNumberFormat="1" applyFont="1" applyFill="1" applyBorder="1" applyAlignment="1" applyProtection="1">
      <alignment horizontal="center" vertical="center"/>
    </xf>
    <xf numFmtId="0" fontId="29" fillId="0" borderId="32" xfId="1026" applyFont="1" applyFill="1" applyBorder="1" applyAlignment="1">
      <alignment horizontal="center" vertical="center"/>
    </xf>
    <xf numFmtId="166" fontId="14" fillId="0" borderId="32" xfId="1040" applyNumberFormat="1" applyFont="1" applyFill="1" applyBorder="1" applyAlignment="1" applyProtection="1">
      <alignment horizontal="center" vertical="center" wrapText="1"/>
    </xf>
    <xf numFmtId="1" fontId="14" fillId="0" borderId="106" xfId="1040" applyNumberFormat="1" applyFont="1" applyFill="1" applyBorder="1" applyAlignment="1" applyProtection="1">
      <alignment horizontal="center" vertical="center"/>
    </xf>
    <xf numFmtId="0" fontId="14" fillId="0" borderId="107" xfId="0" applyFont="1" applyFill="1" applyBorder="1" applyAlignment="1">
      <alignment horizontal="center" vertical="center"/>
    </xf>
    <xf numFmtId="0" fontId="14" fillId="0" borderId="107" xfId="0" applyFont="1" applyFill="1" applyBorder="1" applyAlignment="1">
      <alignment horizontal="left" vertical="center"/>
    </xf>
    <xf numFmtId="1" fontId="14" fillId="0" borderId="108" xfId="0" applyNumberFormat="1" applyFont="1" applyFill="1" applyBorder="1" applyAlignment="1">
      <alignment horizontal="center" vertical="center"/>
    </xf>
    <xf numFmtId="0" fontId="14" fillId="0" borderId="108" xfId="1026" applyFont="1" applyFill="1" applyBorder="1" applyAlignment="1">
      <alignment horizontal="center" vertical="center"/>
    </xf>
    <xf numFmtId="0" fontId="14" fillId="0" borderId="108" xfId="1026" applyFont="1" applyFill="1" applyBorder="1" applyAlignment="1">
      <alignment horizontal="center" vertical="center" wrapText="1"/>
    </xf>
    <xf numFmtId="168" fontId="14" fillId="0" borderId="108" xfId="1026" applyNumberFormat="1" applyFont="1" applyFill="1" applyBorder="1" applyAlignment="1">
      <alignment horizontal="center" vertical="center"/>
    </xf>
    <xf numFmtId="0" fontId="14" fillId="0" borderId="0" xfId="1026" applyFont="1" applyFill="1" applyBorder="1" applyAlignment="1">
      <alignment horizontal="center" vertical="center"/>
    </xf>
    <xf numFmtId="0" fontId="14" fillId="0" borderId="107" xfId="1026" applyFont="1" applyFill="1" applyBorder="1" applyAlignment="1">
      <alignment horizontal="center" vertical="center"/>
    </xf>
    <xf numFmtId="49" fontId="14" fillId="0" borderId="0" xfId="1026" applyNumberFormat="1" applyFont="1" applyFill="1" applyBorder="1" applyAlignment="1">
      <alignment horizontal="center" vertical="center" wrapText="1"/>
    </xf>
    <xf numFmtId="166" fontId="14" fillId="0" borderId="109" xfId="1040" applyNumberFormat="1" applyFont="1" applyFill="1" applyBorder="1" applyAlignment="1" applyProtection="1">
      <alignment horizontal="center" vertical="center" wrapText="1"/>
    </xf>
    <xf numFmtId="166" fontId="14" fillId="0" borderId="107" xfId="1040" applyNumberFormat="1" applyFont="1" applyFill="1" applyBorder="1" applyAlignment="1" applyProtection="1">
      <alignment horizontal="center" vertical="center" wrapText="1"/>
    </xf>
    <xf numFmtId="166" fontId="14" fillId="0" borderId="0" xfId="1040" applyNumberFormat="1" applyFont="1" applyFill="1" applyBorder="1" applyAlignment="1" applyProtection="1">
      <alignment horizontal="center" vertical="center" wrapText="1"/>
    </xf>
    <xf numFmtId="1" fontId="14" fillId="0" borderId="108" xfId="1040" applyNumberFormat="1" applyFont="1" applyFill="1" applyBorder="1" applyAlignment="1" applyProtection="1">
      <alignment horizontal="center" vertical="center"/>
    </xf>
    <xf numFmtId="1" fontId="14" fillId="0" borderId="110" xfId="1040" applyNumberFormat="1" applyFont="1" applyFill="1" applyBorder="1" applyAlignment="1" applyProtection="1">
      <alignment horizontal="center" vertical="center"/>
    </xf>
    <xf numFmtId="166" fontId="14" fillId="0" borderId="106" xfId="1040" applyNumberFormat="1" applyFont="1" applyFill="1" applyBorder="1" applyAlignment="1" applyProtection="1">
      <alignment horizontal="center" vertical="center"/>
    </xf>
    <xf numFmtId="166" fontId="14" fillId="0" borderId="108" xfId="1040" applyNumberFormat="1" applyFont="1" applyFill="1" applyBorder="1" applyAlignment="1" applyProtection="1">
      <alignment horizontal="center" vertical="center"/>
    </xf>
    <xf numFmtId="1" fontId="14" fillId="0" borderId="111" xfId="1040" applyNumberFormat="1" applyFont="1" applyFill="1" applyBorder="1" applyAlignment="1" applyProtection="1">
      <alignment horizontal="center" vertical="center"/>
    </xf>
    <xf numFmtId="0" fontId="14" fillId="0" borderId="108" xfId="1026" applyNumberFormat="1" applyFont="1" applyFill="1" applyBorder="1" applyAlignment="1">
      <alignment horizontal="center" vertical="center"/>
    </xf>
    <xf numFmtId="1" fontId="14" fillId="0" borderId="107" xfId="1040" applyNumberFormat="1" applyFont="1" applyFill="1" applyBorder="1" applyAlignment="1" applyProtection="1">
      <alignment horizontal="center" vertical="center"/>
    </xf>
    <xf numFmtId="1" fontId="14" fillId="0" borderId="107" xfId="1026" applyNumberFormat="1" applyFont="1" applyFill="1" applyBorder="1" applyAlignment="1">
      <alignment horizontal="center" vertical="center" wrapText="1"/>
    </xf>
    <xf numFmtId="1" fontId="14" fillId="0" borderId="107" xfId="0" applyNumberFormat="1" applyFont="1" applyFill="1" applyBorder="1" applyAlignment="1">
      <alignment horizontal="center" vertical="center"/>
    </xf>
    <xf numFmtId="1" fontId="14" fillId="0" borderId="112" xfId="0" applyNumberFormat="1" applyFont="1" applyFill="1" applyBorder="1" applyAlignment="1">
      <alignment horizontal="center" vertical="center" wrapText="1"/>
    </xf>
    <xf numFmtId="49" fontId="14" fillId="0" borderId="43" xfId="1026" applyNumberFormat="1" applyFont="1" applyFill="1" applyBorder="1" applyAlignment="1">
      <alignment horizontal="center" vertical="center" wrapText="1"/>
    </xf>
    <xf numFmtId="1" fontId="14" fillId="0" borderId="106" xfId="1026" applyNumberFormat="1" applyFont="1" applyFill="1" applyBorder="1" applyAlignment="1">
      <alignment horizontal="center" vertical="center"/>
    </xf>
    <xf numFmtId="168" fontId="14" fillId="0" borderId="107" xfId="1026" applyNumberFormat="1" applyFont="1" applyFill="1" applyBorder="1" applyAlignment="1">
      <alignment horizontal="center" vertical="center"/>
    </xf>
    <xf numFmtId="1" fontId="14" fillId="0" borderId="108" xfId="1026" applyNumberFormat="1" applyFont="1" applyFill="1" applyBorder="1" applyAlignment="1">
      <alignment horizontal="center" vertical="center"/>
    </xf>
    <xf numFmtId="1" fontId="14" fillId="0" borderId="110" xfId="1026" applyNumberFormat="1" applyFont="1" applyFill="1" applyBorder="1" applyAlignment="1">
      <alignment horizontal="center" vertical="center"/>
    </xf>
    <xf numFmtId="168" fontId="26" fillId="0" borderId="57" xfId="1026" applyNumberFormat="1" applyFont="1" applyFill="1" applyBorder="1" applyAlignment="1">
      <alignment horizontal="center" vertical="center"/>
    </xf>
    <xf numFmtId="166" fontId="12" fillId="0" borderId="67" xfId="0" applyNumberFormat="1" applyFont="1" applyFill="1" applyBorder="1" applyAlignment="1">
      <alignment horizontal="center" vertical="center"/>
    </xf>
    <xf numFmtId="0" fontId="34" fillId="0" borderId="0" xfId="0" applyFont="1" applyFill="1"/>
    <xf numFmtId="1" fontId="14" fillId="26" borderId="11" xfId="1026" applyNumberFormat="1" applyFont="1" applyFill="1" applyBorder="1" applyAlignment="1">
      <alignment horizontal="center" vertical="center" wrapText="1"/>
    </xf>
    <xf numFmtId="0" fontId="14" fillId="26" borderId="11" xfId="1026" applyFont="1" applyFill="1" applyBorder="1" applyAlignment="1">
      <alignment horizontal="center" vertical="center"/>
    </xf>
    <xf numFmtId="0" fontId="1" fillId="26" borderId="38" xfId="0" applyFont="1" applyFill="1" applyBorder="1"/>
    <xf numFmtId="0" fontId="31" fillId="26" borderId="41" xfId="0" applyFont="1" applyFill="1" applyBorder="1"/>
    <xf numFmtId="0" fontId="31" fillId="26" borderId="11" xfId="0" applyFont="1" applyFill="1" applyBorder="1"/>
    <xf numFmtId="0" fontId="12" fillId="26" borderId="54" xfId="0" applyFont="1" applyFill="1" applyBorder="1"/>
    <xf numFmtId="0" fontId="12" fillId="26" borderId="14" xfId="0" applyFont="1" applyFill="1" applyBorder="1"/>
    <xf numFmtId="0" fontId="12" fillId="26" borderId="40" xfId="0" applyFont="1" applyFill="1" applyBorder="1"/>
    <xf numFmtId="0" fontId="1" fillId="25" borderId="38" xfId="0" applyFont="1" applyFill="1" applyBorder="1"/>
    <xf numFmtId="1" fontId="12" fillId="25" borderId="49" xfId="0" applyNumberFormat="1" applyFont="1" applyFill="1" applyBorder="1" applyAlignment="1">
      <alignment horizontal="center"/>
    </xf>
    <xf numFmtId="1" fontId="12" fillId="25" borderId="49" xfId="0" applyNumberFormat="1" applyFont="1" applyFill="1" applyBorder="1"/>
    <xf numFmtId="1" fontId="1" fillId="25" borderId="11" xfId="0" applyNumberFormat="1" applyFont="1" applyFill="1" applyBorder="1"/>
    <xf numFmtId="0" fontId="4" fillId="0" borderId="109" xfId="0" applyFont="1" applyBorder="1"/>
    <xf numFmtId="0" fontId="4" fillId="0" borderId="0" xfId="0" applyFont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166" fontId="4" fillId="0" borderId="0" xfId="0" applyNumberFormat="1" applyFont="1" applyBorder="1"/>
    <xf numFmtId="1" fontId="4" fillId="0" borderId="0" xfId="0" applyNumberFormat="1" applyFont="1" applyBorder="1"/>
    <xf numFmtId="166" fontId="4" fillId="0" borderId="0" xfId="0" applyNumberFormat="1" applyFont="1" applyFill="1" applyBorder="1"/>
    <xf numFmtId="0" fontId="2" fillId="0" borderId="55" xfId="0" applyFont="1" applyFill="1" applyBorder="1"/>
    <xf numFmtId="0" fontId="2" fillId="0" borderId="0" xfId="0" applyFont="1" applyFill="1" applyBorder="1"/>
    <xf numFmtId="0" fontId="4" fillId="0" borderId="59" xfId="0" applyFont="1" applyBorder="1"/>
    <xf numFmtId="49" fontId="14" fillId="0" borderId="63" xfId="1026" applyNumberFormat="1" applyFont="1" applyFill="1" applyBorder="1" applyAlignment="1">
      <alignment horizontal="left" vertical="center" wrapText="1"/>
    </xf>
    <xf numFmtId="0" fontId="14" fillId="0" borderId="35" xfId="0" applyFont="1" applyFill="1" applyBorder="1" applyAlignment="1">
      <alignment horizontal="center" vertical="center"/>
    </xf>
    <xf numFmtId="1" fontId="14" fillId="0" borderId="30" xfId="0" applyNumberFormat="1" applyFont="1" applyFill="1" applyBorder="1" applyAlignment="1">
      <alignment horizontal="center" vertical="center"/>
    </xf>
    <xf numFmtId="0" fontId="27" fillId="0" borderId="55" xfId="0" applyFont="1" applyFill="1" applyBorder="1" applyAlignment="1">
      <alignment horizontal="left" vertical="center" wrapText="1"/>
    </xf>
    <xf numFmtId="1" fontId="14" fillId="0" borderId="57" xfId="0" applyNumberFormat="1" applyFont="1" applyFill="1" applyBorder="1" applyAlignment="1">
      <alignment horizontal="center" vertical="center"/>
    </xf>
    <xf numFmtId="1" fontId="14" fillId="0" borderId="61" xfId="1026" applyNumberFormat="1" applyFont="1" applyFill="1" applyBorder="1" applyAlignment="1">
      <alignment horizontal="center" vertical="center"/>
    </xf>
    <xf numFmtId="0" fontId="12" fillId="26" borderId="113" xfId="0" applyFont="1" applyFill="1" applyBorder="1" applyAlignment="1">
      <alignment horizontal="center"/>
    </xf>
    <xf numFmtId="0" fontId="12" fillId="26" borderId="97" xfId="0" applyFont="1" applyFill="1" applyBorder="1" applyAlignment="1">
      <alignment horizontal="center"/>
    </xf>
    <xf numFmtId="0" fontId="21" fillId="26" borderId="97" xfId="0" applyFont="1" applyFill="1" applyBorder="1" applyAlignment="1">
      <alignment horizontal="center" vertical="center"/>
    </xf>
    <xf numFmtId="168" fontId="12" fillId="26" borderId="97" xfId="0" applyNumberFormat="1" applyFont="1" applyFill="1" applyBorder="1" applyAlignment="1">
      <alignment horizontal="center"/>
    </xf>
    <xf numFmtId="0" fontId="21" fillId="26" borderId="114" xfId="0" applyFont="1" applyFill="1" applyBorder="1" applyAlignment="1">
      <alignment horizontal="center" vertical="center"/>
    </xf>
    <xf numFmtId="0" fontId="14" fillId="25" borderId="15" xfId="1026" applyFont="1" applyFill="1" applyBorder="1" applyAlignment="1">
      <alignment horizontal="center" vertical="center"/>
    </xf>
    <xf numFmtId="0" fontId="1" fillId="25" borderId="16" xfId="0" applyFont="1" applyFill="1" applyBorder="1"/>
    <xf numFmtId="0" fontId="1" fillId="0" borderId="109" xfId="0" applyFont="1" applyFill="1" applyBorder="1"/>
    <xf numFmtId="0" fontId="14" fillId="0" borderId="35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1" fontId="12" fillId="0" borderId="14" xfId="0" applyNumberFormat="1" applyFont="1" applyFill="1" applyBorder="1" applyAlignment="1">
      <alignment horizontal="center" vertical="center" wrapText="1"/>
    </xf>
    <xf numFmtId="1" fontId="12" fillId="0" borderId="40" xfId="0" applyNumberFormat="1" applyFont="1" applyFill="1" applyBorder="1" applyAlignment="1">
      <alignment horizontal="center" vertical="center" wrapText="1"/>
    </xf>
    <xf numFmtId="1" fontId="14" fillId="0" borderId="56" xfId="1026" applyNumberFormat="1" applyFont="1" applyFill="1" applyBorder="1" applyAlignment="1">
      <alignment horizontal="center" vertical="center" wrapText="1"/>
    </xf>
    <xf numFmtId="1" fontId="35" fillId="0" borderId="23" xfId="104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66" fontId="14" fillId="0" borderId="31" xfId="1040" applyNumberFormat="1" applyFont="1" applyFill="1" applyBorder="1" applyAlignment="1" applyProtection="1">
      <alignment horizontal="center" vertical="center" wrapText="1"/>
    </xf>
    <xf numFmtId="0" fontId="14" fillId="0" borderId="34" xfId="0" applyFont="1" applyFill="1" applyBorder="1" applyAlignment="1">
      <alignment horizontal="center" vertical="center" wrapText="1"/>
    </xf>
    <xf numFmtId="1" fontId="12" fillId="0" borderId="16" xfId="0" applyNumberFormat="1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center" vertical="center"/>
    </xf>
    <xf numFmtId="1" fontId="14" fillId="24" borderId="25" xfId="1026" applyNumberFormat="1" applyFont="1" applyFill="1" applyBorder="1" applyAlignment="1">
      <alignment horizontal="center" vertical="center" wrapText="1"/>
    </xf>
    <xf numFmtId="0" fontId="14" fillId="0" borderId="44" xfId="0" applyFont="1" applyFill="1" applyBorder="1" applyAlignment="1">
      <alignment horizontal="center" vertical="center" wrapText="1"/>
    </xf>
    <xf numFmtId="166" fontId="14" fillId="26" borderId="51" xfId="1026" applyNumberFormat="1" applyFont="1" applyFill="1" applyBorder="1" applyAlignment="1">
      <alignment horizontal="center" vertical="center"/>
    </xf>
    <xf numFmtId="0" fontId="14" fillId="26" borderId="56" xfId="1026" applyFont="1" applyFill="1" applyBorder="1" applyAlignment="1">
      <alignment horizontal="center" vertical="center"/>
    </xf>
    <xf numFmtId="3" fontId="12" fillId="25" borderId="14" xfId="0" applyNumberFormat="1" applyFont="1" applyFill="1" applyBorder="1" applyAlignment="1">
      <alignment horizontal="center"/>
    </xf>
    <xf numFmtId="3" fontId="12" fillId="25" borderId="115" xfId="0" applyNumberFormat="1" applyFont="1" applyFill="1" applyBorder="1" applyAlignment="1">
      <alignment horizontal="center"/>
    </xf>
    <xf numFmtId="0" fontId="14" fillId="25" borderId="37" xfId="1026" applyFont="1" applyFill="1" applyBorder="1" applyAlignment="1">
      <alignment horizontal="center" vertical="center"/>
    </xf>
    <xf numFmtId="0" fontId="4" fillId="0" borderId="22" xfId="0" applyFont="1" applyBorder="1"/>
    <xf numFmtId="0" fontId="27" fillId="0" borderId="100" xfId="0" applyFont="1" applyFill="1" applyBorder="1" applyAlignment="1">
      <alignment horizontal="left" vertical="center" wrapText="1"/>
    </xf>
    <xf numFmtId="0" fontId="14" fillId="0" borderId="55" xfId="0" applyFont="1" applyFill="1" applyBorder="1" applyAlignment="1">
      <alignment horizontal="center" vertical="center" wrapText="1"/>
    </xf>
    <xf numFmtId="0" fontId="14" fillId="0" borderId="33" xfId="0" applyFont="1" applyFill="1" applyBorder="1" applyAlignment="1">
      <alignment horizontal="center" vertical="center" wrapText="1"/>
    </xf>
    <xf numFmtId="0" fontId="14" fillId="0" borderId="85" xfId="0" applyFont="1" applyFill="1" applyBorder="1" applyAlignment="1">
      <alignment horizontal="center" vertical="center" wrapText="1"/>
    </xf>
    <xf numFmtId="166" fontId="14" fillId="0" borderId="102" xfId="1040" applyNumberFormat="1" applyFont="1" applyFill="1" applyBorder="1" applyAlignment="1" applyProtection="1">
      <alignment horizontal="center" vertical="center" wrapText="1"/>
    </xf>
    <xf numFmtId="166" fontId="14" fillId="0" borderId="85" xfId="1040" applyNumberFormat="1" applyFont="1" applyFill="1" applyBorder="1" applyAlignment="1" applyProtection="1">
      <alignment horizontal="center" vertical="center" wrapText="1"/>
    </xf>
    <xf numFmtId="1" fontId="14" fillId="24" borderId="52" xfId="1026" applyNumberFormat="1" applyFont="1" applyFill="1" applyBorder="1" applyAlignment="1">
      <alignment horizontal="center" vertical="center"/>
    </xf>
    <xf numFmtId="0" fontId="1" fillId="25" borderId="58" xfId="0" applyFont="1" applyFill="1" applyBorder="1"/>
    <xf numFmtId="0" fontId="14" fillId="25" borderId="56" xfId="1026" applyFont="1" applyFill="1" applyBorder="1" applyAlignment="1">
      <alignment horizontal="center" vertical="center"/>
    </xf>
    <xf numFmtId="0" fontId="23" fillId="0" borderId="47" xfId="1026" applyFont="1" applyFill="1" applyBorder="1" applyAlignment="1">
      <alignment vertical="center" wrapText="1"/>
    </xf>
    <xf numFmtId="166" fontId="14" fillId="0" borderId="116" xfId="1040" applyNumberFormat="1" applyFont="1" applyFill="1" applyBorder="1" applyAlignment="1" applyProtection="1">
      <alignment horizontal="center" vertical="center"/>
    </xf>
    <xf numFmtId="168" fontId="27" fillId="0" borderId="30" xfId="0" applyNumberFormat="1" applyFont="1" applyFill="1" applyBorder="1" applyAlignment="1">
      <alignment horizontal="left" vertical="center" wrapText="1"/>
    </xf>
    <xf numFmtId="0" fontId="14" fillId="0" borderId="30" xfId="0" applyFont="1" applyFill="1" applyBorder="1" applyAlignment="1">
      <alignment horizontal="center" vertical="center"/>
    </xf>
    <xf numFmtId="1" fontId="14" fillId="0" borderId="117" xfId="1026" applyNumberFormat="1" applyFont="1" applyFill="1" applyBorder="1" applyAlignment="1">
      <alignment horizontal="center" vertical="center"/>
    </xf>
    <xf numFmtId="1" fontId="1" fillId="0" borderId="109" xfId="0" applyNumberFormat="1" applyFont="1" applyFill="1" applyBorder="1"/>
    <xf numFmtId="0" fontId="27" fillId="27" borderId="35" xfId="0" applyFont="1" applyFill="1" applyBorder="1" applyAlignment="1">
      <alignment horizontal="left" vertical="center" wrapText="1"/>
    </xf>
    <xf numFmtId="0" fontId="14" fillId="27" borderId="35" xfId="0" applyFont="1" applyFill="1" applyBorder="1" applyAlignment="1">
      <alignment horizontal="center" vertical="center" wrapText="1"/>
    </xf>
    <xf numFmtId="0" fontId="27" fillId="27" borderId="30" xfId="0" applyFont="1" applyFill="1" applyBorder="1" applyAlignment="1">
      <alignment horizontal="left" vertical="center" wrapText="1"/>
    </xf>
    <xf numFmtId="1" fontId="14" fillId="27" borderId="30" xfId="1026" applyNumberFormat="1" applyFont="1" applyFill="1" applyBorder="1" applyAlignment="1">
      <alignment horizontal="center" vertical="center"/>
    </xf>
    <xf numFmtId="0" fontId="14" fillId="27" borderId="30" xfId="0" applyFont="1" applyFill="1" applyBorder="1" applyAlignment="1">
      <alignment horizontal="center" vertical="center"/>
    </xf>
    <xf numFmtId="1" fontId="14" fillId="27" borderId="117" xfId="1026" applyNumberFormat="1" applyFont="1" applyFill="1" applyBorder="1" applyAlignment="1">
      <alignment horizontal="center" vertical="center"/>
    </xf>
    <xf numFmtId="0" fontId="12" fillId="27" borderId="54" xfId="0" applyFont="1" applyFill="1" applyBorder="1" applyAlignment="1">
      <alignment horizontal="center" vertical="center" wrapText="1"/>
    </xf>
    <xf numFmtId="1" fontId="12" fillId="27" borderId="14" xfId="0" applyNumberFormat="1" applyFont="1" applyFill="1" applyBorder="1" applyAlignment="1">
      <alignment horizontal="center" vertical="center" wrapText="1"/>
    </xf>
    <xf numFmtId="1" fontId="12" fillId="27" borderId="40" xfId="0" applyNumberFormat="1" applyFont="1" applyFill="1" applyBorder="1" applyAlignment="1">
      <alignment horizontal="center" vertical="center" wrapText="1"/>
    </xf>
    <xf numFmtId="1" fontId="14" fillId="27" borderId="56" xfId="1026" applyNumberFormat="1" applyFont="1" applyFill="1" applyBorder="1" applyAlignment="1">
      <alignment horizontal="center" vertical="center" wrapText="1"/>
    </xf>
    <xf numFmtId="0" fontId="28" fillId="0" borderId="24" xfId="1026" applyFont="1" applyFill="1" applyBorder="1" applyAlignment="1">
      <alignment horizontal="center" vertical="center" wrapText="1"/>
    </xf>
    <xf numFmtId="168" fontId="27" fillId="27" borderId="34" xfId="0" applyNumberFormat="1" applyFont="1" applyFill="1" applyBorder="1" applyAlignment="1">
      <alignment horizontal="left" vertical="center" wrapText="1"/>
    </xf>
    <xf numFmtId="1" fontId="14" fillId="27" borderId="35" xfId="1026" applyNumberFormat="1" applyFont="1" applyFill="1" applyBorder="1" applyAlignment="1">
      <alignment horizontal="center" vertical="center"/>
    </xf>
    <xf numFmtId="1" fontId="14" fillId="27" borderId="36" xfId="1026" applyNumberFormat="1" applyFont="1" applyFill="1" applyBorder="1" applyAlignment="1">
      <alignment horizontal="center" vertical="center"/>
    </xf>
    <xf numFmtId="168" fontId="14" fillId="27" borderId="23" xfId="1026" applyNumberFormat="1" applyFont="1" applyFill="1" applyBorder="1" applyAlignment="1">
      <alignment horizontal="center" vertical="center"/>
    </xf>
    <xf numFmtId="0" fontId="14" fillId="27" borderId="35" xfId="0" applyFont="1" applyFill="1" applyBorder="1" applyAlignment="1">
      <alignment horizontal="center" vertical="center"/>
    </xf>
    <xf numFmtId="0" fontId="14" fillId="27" borderId="25" xfId="0" applyFont="1" applyFill="1" applyBorder="1" applyAlignment="1">
      <alignment horizontal="center" vertical="center"/>
    </xf>
    <xf numFmtId="0" fontId="14" fillId="27" borderId="25" xfId="0" applyFont="1" applyFill="1" applyBorder="1" applyAlignment="1">
      <alignment horizontal="left" vertical="center"/>
    </xf>
    <xf numFmtId="1" fontId="14" fillId="27" borderId="25" xfId="1026" applyNumberFormat="1" applyFont="1" applyFill="1" applyBorder="1" applyAlignment="1">
      <alignment horizontal="center" vertical="center" wrapText="1"/>
    </xf>
    <xf numFmtId="1" fontId="14" fillId="27" borderId="25" xfId="0" applyNumberFormat="1" applyFont="1" applyFill="1" applyBorder="1" applyAlignment="1">
      <alignment horizontal="center" vertical="center"/>
    </xf>
    <xf numFmtId="0" fontId="14" fillId="27" borderId="25" xfId="1026" applyFont="1" applyFill="1" applyBorder="1" applyAlignment="1">
      <alignment horizontal="center" vertical="center"/>
    </xf>
    <xf numFmtId="0" fontId="14" fillId="27" borderId="25" xfId="1026" applyFont="1" applyFill="1" applyBorder="1" applyAlignment="1">
      <alignment horizontal="center" vertical="center" wrapText="1"/>
    </xf>
    <xf numFmtId="0" fontId="14" fillId="27" borderId="26" xfId="1026" applyFont="1" applyFill="1" applyBorder="1" applyAlignment="1">
      <alignment horizontal="center" vertical="center"/>
    </xf>
    <xf numFmtId="49" fontId="14" fillId="27" borderId="63" xfId="1026" applyNumberFormat="1" applyFont="1" applyFill="1" applyBorder="1" applyAlignment="1">
      <alignment horizontal="center" vertical="center" wrapText="1"/>
    </xf>
    <xf numFmtId="166" fontId="14" fillId="27" borderId="31" xfId="1040" applyNumberFormat="1" applyFont="1" applyFill="1" applyBorder="1" applyAlignment="1" applyProtection="1">
      <alignment horizontal="center" vertical="center"/>
    </xf>
    <xf numFmtId="166" fontId="14" fillId="27" borderId="24" xfId="1040" applyNumberFormat="1" applyFont="1" applyFill="1" applyBorder="1" applyAlignment="1" applyProtection="1">
      <alignment horizontal="center" vertical="center"/>
    </xf>
    <xf numFmtId="1" fontId="14" fillId="27" borderId="63" xfId="1040" applyNumberFormat="1" applyFont="1" applyFill="1" applyBorder="1" applyAlignment="1" applyProtection="1">
      <alignment horizontal="center" vertical="center"/>
    </xf>
    <xf numFmtId="1" fontId="14" fillId="27" borderId="99" xfId="1040" applyNumberFormat="1" applyFont="1" applyFill="1" applyBorder="1" applyAlignment="1" applyProtection="1">
      <alignment horizontal="center" vertical="center"/>
    </xf>
    <xf numFmtId="0" fontId="14" fillId="27" borderId="24" xfId="1026" applyNumberFormat="1" applyFont="1" applyFill="1" applyBorder="1" applyAlignment="1">
      <alignment horizontal="center" vertical="center"/>
    </xf>
    <xf numFmtId="168" fontId="14" fillId="27" borderId="35" xfId="0" applyNumberFormat="1" applyFont="1" applyFill="1" applyBorder="1" applyAlignment="1">
      <alignment horizontal="center" vertical="center" wrapText="1"/>
    </xf>
    <xf numFmtId="1" fontId="14" fillId="27" borderId="31" xfId="1026" applyNumberFormat="1" applyFont="1" applyFill="1" applyBorder="1" applyAlignment="1">
      <alignment horizontal="center" vertical="center"/>
    </xf>
    <xf numFmtId="1" fontId="14" fillId="27" borderId="63" xfId="1026" applyNumberFormat="1" applyFont="1" applyFill="1" applyBorder="1" applyAlignment="1">
      <alignment horizontal="center" vertical="center"/>
    </xf>
    <xf numFmtId="0" fontId="14" fillId="27" borderId="30" xfId="0" applyFont="1" applyFill="1" applyBorder="1" applyAlignment="1">
      <alignment horizontal="center" vertical="center" wrapText="1"/>
    </xf>
    <xf numFmtId="0" fontId="1" fillId="27" borderId="30" xfId="0" applyFont="1" applyFill="1" applyBorder="1" applyAlignment="1">
      <alignment horizontal="center" vertical="center"/>
    </xf>
    <xf numFmtId="0" fontId="1" fillId="27" borderId="117" xfId="0" applyFont="1" applyFill="1" applyBorder="1" applyAlignment="1">
      <alignment horizontal="center" vertical="center"/>
    </xf>
    <xf numFmtId="0" fontId="1" fillId="27" borderId="11" xfId="0" applyFont="1" applyFill="1" applyBorder="1"/>
    <xf numFmtId="0" fontId="14" fillId="27" borderId="63" xfId="1026" applyFont="1" applyFill="1" applyBorder="1" applyAlignment="1">
      <alignment horizontal="center" vertical="center" wrapText="1"/>
    </xf>
    <xf numFmtId="0" fontId="14" fillId="27" borderId="25" xfId="0" applyFont="1" applyFill="1" applyBorder="1" applyAlignment="1">
      <alignment horizontal="center" vertical="center" wrapText="1"/>
    </xf>
    <xf numFmtId="0" fontId="14" fillId="27" borderId="35" xfId="1026" applyFont="1" applyFill="1" applyBorder="1" applyAlignment="1">
      <alignment horizontal="center" vertical="center" wrapText="1"/>
    </xf>
    <xf numFmtId="1" fontId="14" fillId="27" borderId="23" xfId="1026" applyNumberFormat="1" applyFont="1" applyFill="1" applyBorder="1" applyAlignment="1">
      <alignment horizontal="center" vertical="center"/>
    </xf>
    <xf numFmtId="1" fontId="14" fillId="27" borderId="25" xfId="1026" applyNumberFormat="1" applyFont="1" applyFill="1" applyBorder="1" applyAlignment="1">
      <alignment horizontal="center" vertical="center"/>
    </xf>
    <xf numFmtId="0" fontId="27" fillId="27" borderId="34" xfId="0" applyFont="1" applyFill="1" applyBorder="1" applyAlignment="1">
      <alignment horizontal="left" vertical="center" wrapText="1"/>
    </xf>
    <xf numFmtId="0" fontId="14" fillId="27" borderId="34" xfId="1026" applyFont="1" applyFill="1" applyBorder="1" applyAlignment="1">
      <alignment horizontal="center" vertical="center" wrapText="1"/>
    </xf>
    <xf numFmtId="0" fontId="1" fillId="27" borderId="30" xfId="0" applyFont="1" applyFill="1" applyBorder="1"/>
    <xf numFmtId="0" fontId="1" fillId="27" borderId="117" xfId="0" applyFont="1" applyFill="1" applyBorder="1"/>
    <xf numFmtId="1" fontId="12" fillId="27" borderId="38" xfId="0" applyNumberFormat="1" applyFont="1" applyFill="1" applyBorder="1" applyAlignment="1">
      <alignment horizontal="center" vertical="center" wrapText="1"/>
    </xf>
    <xf numFmtId="0" fontId="28" fillId="27" borderId="25" xfId="1026" applyFont="1" applyFill="1" applyBorder="1" applyAlignment="1">
      <alignment horizontal="center" vertical="center" wrapText="1"/>
    </xf>
    <xf numFmtId="0" fontId="1" fillId="0" borderId="44" xfId="0" applyFont="1" applyBorder="1"/>
    <xf numFmtId="0" fontId="1" fillId="0" borderId="118" xfId="0" applyFont="1" applyBorder="1"/>
    <xf numFmtId="0" fontId="1" fillId="0" borderId="11" xfId="0" applyFont="1" applyFill="1" applyBorder="1"/>
    <xf numFmtId="1" fontId="14" fillId="0" borderId="17" xfId="1026" applyNumberFormat="1" applyFont="1" applyFill="1" applyBorder="1" applyAlignment="1">
      <alignment horizontal="center" vertical="center" wrapText="1"/>
    </xf>
    <xf numFmtId="1" fontId="12" fillId="26" borderId="97" xfId="0" applyNumberFormat="1" applyFont="1" applyFill="1" applyBorder="1" applyAlignment="1">
      <alignment horizontal="center"/>
    </xf>
    <xf numFmtId="1" fontId="12" fillId="26" borderId="114" xfId="0" applyNumberFormat="1" applyFont="1" applyFill="1" applyBorder="1" applyAlignment="1">
      <alignment horizontal="center"/>
    </xf>
    <xf numFmtId="0" fontId="4" fillId="0" borderId="68" xfId="0" applyFont="1" applyBorder="1"/>
    <xf numFmtId="0" fontId="4" fillId="0" borderId="70" xfId="0" applyFont="1" applyBorder="1"/>
    <xf numFmtId="0" fontId="4" fillId="0" borderId="70" xfId="0" applyFont="1" applyBorder="1" applyAlignment="1">
      <alignment horizontal="center"/>
    </xf>
    <xf numFmtId="166" fontId="4" fillId="0" borderId="70" xfId="0" applyNumberFormat="1" applyFont="1" applyBorder="1" applyAlignment="1">
      <alignment horizontal="center"/>
    </xf>
    <xf numFmtId="166" fontId="4" fillId="0" borderId="70" xfId="0" applyNumberFormat="1" applyFont="1" applyBorder="1"/>
    <xf numFmtId="1" fontId="4" fillId="0" borderId="70" xfId="0" applyNumberFormat="1" applyFont="1" applyBorder="1"/>
    <xf numFmtId="166" fontId="4" fillId="0" borderId="70" xfId="0" applyNumberFormat="1" applyFont="1" applyFill="1" applyBorder="1"/>
    <xf numFmtId="0" fontId="4" fillId="0" borderId="103" xfId="0" applyFont="1" applyBorder="1"/>
    <xf numFmtId="0" fontId="2" fillId="0" borderId="103" xfId="0" applyFont="1" applyFill="1" applyBorder="1"/>
    <xf numFmtId="0" fontId="2" fillId="0" borderId="70" xfId="0" applyFont="1" applyFill="1" applyBorder="1"/>
    <xf numFmtId="0" fontId="23" fillId="0" borderId="38" xfId="1026" applyFont="1" applyFill="1" applyBorder="1" applyAlignment="1">
      <alignment horizontal="center" vertical="center" wrapText="1"/>
    </xf>
    <xf numFmtId="0" fontId="14" fillId="0" borderId="85" xfId="0" applyFont="1" applyFill="1" applyBorder="1" applyAlignment="1">
      <alignment horizontal="left" vertical="center"/>
    </xf>
    <xf numFmtId="1" fontId="14" fillId="0" borderId="85" xfId="1026" applyNumberFormat="1" applyFont="1" applyFill="1" applyBorder="1" applyAlignment="1">
      <alignment horizontal="center" vertical="center" wrapText="1"/>
    </xf>
    <xf numFmtId="0" fontId="26" fillId="0" borderId="32" xfId="1026" applyFont="1" applyFill="1" applyBorder="1" applyAlignment="1">
      <alignment horizontal="center" vertical="center"/>
    </xf>
    <xf numFmtId="166" fontId="14" fillId="0" borderId="33" xfId="1040" applyNumberFormat="1" applyFont="1" applyFill="1" applyBorder="1" applyAlignment="1" applyProtection="1">
      <alignment horizontal="center" vertical="center" wrapText="1"/>
    </xf>
    <xf numFmtId="0" fontId="14" fillId="0" borderId="34" xfId="1026" applyFont="1" applyFill="1" applyBorder="1" applyAlignment="1">
      <alignment horizontal="center" vertical="center" wrapText="1"/>
    </xf>
    <xf numFmtId="1" fontId="12" fillId="0" borderId="38" xfId="0" applyNumberFormat="1" applyFont="1" applyFill="1" applyBorder="1" applyAlignment="1">
      <alignment horizontal="center" vertical="center" wrapText="1"/>
    </xf>
    <xf numFmtId="166" fontId="14" fillId="27" borderId="61" xfId="1025" applyNumberFormat="1" applyFont="1" applyFill="1" applyBorder="1" applyAlignment="1">
      <alignment horizontal="center" vertical="center" wrapText="1"/>
    </xf>
    <xf numFmtId="166" fontId="14" fillId="27" borderId="24" xfId="1040" applyNumberFormat="1" applyFont="1" applyFill="1" applyBorder="1" applyAlignment="1" applyProtection="1">
      <alignment horizontal="center" vertical="center" wrapText="1"/>
    </xf>
    <xf numFmtId="0" fontId="14" fillId="27" borderId="34" xfId="0" applyFont="1" applyFill="1" applyBorder="1" applyAlignment="1">
      <alignment horizontal="center" vertical="center" wrapText="1"/>
    </xf>
    <xf numFmtId="0" fontId="1" fillId="27" borderId="35" xfId="0" applyFont="1" applyFill="1" applyBorder="1"/>
    <xf numFmtId="0" fontId="1" fillId="27" borderId="36" xfId="0" applyFont="1" applyFill="1" applyBorder="1"/>
    <xf numFmtId="0" fontId="1" fillId="27" borderId="14" xfId="0" applyFont="1" applyFill="1" applyBorder="1"/>
    <xf numFmtId="0" fontId="14" fillId="27" borderId="61" xfId="1025" applyFont="1" applyFill="1" applyBorder="1" applyAlignment="1">
      <alignment horizontal="center" vertical="center" wrapText="1"/>
    </xf>
    <xf numFmtId="0" fontId="28" fillId="27" borderId="30" xfId="0" applyFont="1" applyFill="1" applyBorder="1" applyAlignment="1">
      <alignment horizontal="center" vertical="center"/>
    </xf>
    <xf numFmtId="166" fontId="14" fillId="0" borderId="31" xfId="1025" applyNumberFormat="1" applyFont="1" applyFill="1" applyBorder="1" applyAlignment="1">
      <alignment horizontal="center" vertical="center" wrapText="1"/>
    </xf>
    <xf numFmtId="1" fontId="26" fillId="0" borderId="24" xfId="0" applyNumberFormat="1" applyFont="1" applyFill="1" applyBorder="1" applyAlignment="1">
      <alignment horizontal="center" vertical="center"/>
    </xf>
    <xf numFmtId="0" fontId="14" fillId="0" borderId="31" xfId="1025" applyFont="1" applyFill="1" applyBorder="1" applyAlignment="1">
      <alignment horizontal="center" vertical="center" wrapText="1"/>
    </xf>
    <xf numFmtId="1" fontId="14" fillId="24" borderId="24" xfId="1026" applyNumberFormat="1" applyFont="1" applyFill="1" applyBorder="1" applyAlignment="1">
      <alignment horizontal="center" vertical="center" wrapText="1"/>
    </xf>
    <xf numFmtId="0" fontId="22" fillId="26" borderId="56" xfId="0" applyFont="1" applyFill="1" applyBorder="1" applyAlignment="1">
      <alignment horizontal="center" vertical="center"/>
    </xf>
    <xf numFmtId="0" fontId="22" fillId="26" borderId="17" xfId="0" applyFont="1" applyFill="1" applyBorder="1" applyAlignment="1">
      <alignment horizontal="center" vertical="center"/>
    </xf>
    <xf numFmtId="3" fontId="12" fillId="26" borderId="18" xfId="0" applyNumberFormat="1" applyFont="1" applyFill="1" applyBorder="1" applyAlignment="1">
      <alignment horizontal="center"/>
    </xf>
    <xf numFmtId="3" fontId="12" fillId="26" borderId="17" xfId="0" applyNumberFormat="1" applyFont="1" applyFill="1" applyBorder="1" applyAlignment="1">
      <alignment horizontal="center"/>
    </xf>
    <xf numFmtId="0" fontId="22" fillId="25" borderId="56" xfId="0" applyFont="1" applyFill="1" applyBorder="1" applyAlignment="1">
      <alignment horizontal="center" vertical="center"/>
    </xf>
    <xf numFmtId="0" fontId="22" fillId="25" borderId="17" xfId="0" applyFont="1" applyFill="1" applyBorder="1" applyAlignment="1">
      <alignment horizontal="center" vertical="center"/>
    </xf>
    <xf numFmtId="3" fontId="12" fillId="25" borderId="18" xfId="0" applyNumberFormat="1" applyFont="1" applyFill="1" applyBorder="1" applyAlignment="1">
      <alignment horizontal="center"/>
    </xf>
    <xf numFmtId="3" fontId="12" fillId="25" borderId="17" xfId="0" applyNumberFormat="1" applyFont="1" applyFill="1" applyBorder="1" applyAlignment="1">
      <alignment horizontal="center"/>
    </xf>
    <xf numFmtId="168" fontId="30" fillId="0" borderId="30" xfId="1026" applyNumberFormat="1" applyFont="1" applyFill="1" applyBorder="1" applyAlignment="1">
      <alignment horizontal="center" vertical="center" wrapText="1"/>
    </xf>
    <xf numFmtId="1" fontId="29" fillId="0" borderId="24" xfId="1026" applyNumberFormat="1" applyFont="1" applyFill="1" applyBorder="1" applyAlignment="1">
      <alignment horizontal="center" vertical="center"/>
    </xf>
    <xf numFmtId="0" fontId="14" fillId="0" borderId="30" xfId="1026" applyFont="1" applyFill="1" applyBorder="1" applyAlignment="1">
      <alignment horizontal="center" vertical="center" wrapText="1"/>
    </xf>
    <xf numFmtId="0" fontId="2" fillId="26" borderId="40" xfId="0" applyFont="1" applyFill="1" applyBorder="1"/>
    <xf numFmtId="0" fontId="21" fillId="26" borderId="17" xfId="0" applyFont="1" applyFill="1" applyBorder="1" applyAlignment="1">
      <alignment horizontal="center" vertical="center"/>
    </xf>
    <xf numFmtId="3" fontId="4" fillId="26" borderId="18" xfId="0" applyNumberFormat="1" applyFont="1" applyFill="1" applyBorder="1" applyAlignment="1">
      <alignment horizontal="center"/>
    </xf>
    <xf numFmtId="3" fontId="4" fillId="26" borderId="17" xfId="0" applyNumberFormat="1" applyFont="1" applyFill="1" applyBorder="1" applyAlignment="1">
      <alignment horizontal="center"/>
    </xf>
    <xf numFmtId="0" fontId="12" fillId="26" borderId="41" xfId="0" applyFont="1" applyFill="1" applyBorder="1" applyAlignment="1">
      <alignment horizontal="center" vertical="center"/>
    </xf>
    <xf numFmtId="0" fontId="2" fillId="25" borderId="18" xfId="0" applyFont="1" applyFill="1" applyBorder="1"/>
    <xf numFmtId="0" fontId="21" fillId="25" borderId="17" xfId="0" applyFont="1" applyFill="1" applyBorder="1" applyAlignment="1">
      <alignment horizontal="center" vertical="center"/>
    </xf>
    <xf numFmtId="3" fontId="4" fillId="25" borderId="18" xfId="0" applyNumberFormat="1" applyFont="1" applyFill="1" applyBorder="1" applyAlignment="1">
      <alignment horizontal="center"/>
    </xf>
    <xf numFmtId="3" fontId="4" fillId="25" borderId="17" xfId="0" applyNumberFormat="1" applyFont="1" applyFill="1" applyBorder="1" applyAlignment="1">
      <alignment horizontal="center"/>
    </xf>
    <xf numFmtId="0" fontId="21" fillId="0" borderId="2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3" fontId="4" fillId="0" borderId="39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68" fontId="14" fillId="0" borderId="107" xfId="1026" applyNumberFormat="1" applyFont="1" applyFill="1" applyBorder="1" applyAlignment="1">
      <alignment horizontal="center" vertical="center" wrapText="1"/>
    </xf>
    <xf numFmtId="166" fontId="14" fillId="0" borderId="23" xfId="1040" applyNumberFormat="1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49" fontId="14" fillId="0" borderId="56" xfId="1026" applyNumberFormat="1" applyFont="1" applyFill="1" applyBorder="1" applyAlignment="1">
      <alignment horizontal="center" vertical="center" wrapText="1"/>
    </xf>
    <xf numFmtId="0" fontId="14" fillId="0" borderId="57" xfId="1026" applyFont="1" applyFill="1" applyBorder="1" applyAlignment="1">
      <alignment horizontal="center" vertical="center" wrapText="1"/>
    </xf>
    <xf numFmtId="1" fontId="14" fillId="0" borderId="28" xfId="1026" applyNumberFormat="1" applyFont="1" applyFill="1" applyBorder="1" applyAlignment="1">
      <alignment horizontal="center" vertical="center"/>
    </xf>
    <xf numFmtId="166" fontId="14" fillId="24" borderId="41" xfId="1040" applyNumberFormat="1" applyFont="1" applyFill="1" applyBorder="1" applyAlignment="1" applyProtection="1">
      <alignment horizontal="center" vertical="center"/>
    </xf>
    <xf numFmtId="166" fontId="14" fillId="24" borderId="11" xfId="1040" applyNumberFormat="1" applyFont="1" applyFill="1" applyBorder="1" applyAlignment="1" applyProtection="1">
      <alignment horizontal="center" vertical="center"/>
    </xf>
    <xf numFmtId="168" fontId="14" fillId="24" borderId="11" xfId="1026" applyNumberFormat="1" applyFont="1" applyFill="1" applyBorder="1" applyAlignment="1">
      <alignment horizontal="center" vertical="center"/>
    </xf>
    <xf numFmtId="1" fontId="14" fillId="24" borderId="16" xfId="1026" applyNumberFormat="1" applyFont="1" applyFill="1" applyBorder="1" applyAlignment="1">
      <alignment horizontal="center" vertical="center" wrapText="1"/>
    </xf>
    <xf numFmtId="168" fontId="28" fillId="0" borderId="35" xfId="1026" applyNumberFormat="1" applyFont="1" applyFill="1" applyBorder="1" applyAlignment="1">
      <alignment horizontal="center" vertical="center" wrapText="1"/>
    </xf>
    <xf numFmtId="0" fontId="12" fillId="26" borderId="94" xfId="0" applyFont="1" applyFill="1" applyBorder="1" applyAlignment="1">
      <alignment horizontal="center" vertical="center"/>
    </xf>
    <xf numFmtId="1" fontId="12" fillId="26" borderId="49" xfId="0" applyNumberFormat="1" applyFont="1" applyFill="1" applyBorder="1" applyAlignment="1">
      <alignment horizontal="center" vertical="center"/>
    </xf>
    <xf numFmtId="0" fontId="21" fillId="26" borderId="49" xfId="0" applyFont="1" applyFill="1" applyBorder="1" applyAlignment="1">
      <alignment horizontal="center" vertical="center"/>
    </xf>
    <xf numFmtId="0" fontId="21" fillId="26" borderId="95" xfId="0" applyFont="1" applyFill="1" applyBorder="1" applyAlignment="1">
      <alignment horizontal="center" vertical="center"/>
    </xf>
    <xf numFmtId="168" fontId="12" fillId="26" borderId="18" xfId="0" applyNumberFormat="1" applyFont="1" applyFill="1" applyBorder="1" applyAlignment="1">
      <alignment horizontal="center" vertical="center"/>
    </xf>
    <xf numFmtId="0" fontId="4" fillId="25" borderId="94" xfId="0" applyFont="1" applyFill="1" applyBorder="1" applyAlignment="1">
      <alignment horizontal="center" vertical="center" wrapText="1"/>
    </xf>
    <xf numFmtId="1" fontId="4" fillId="25" borderId="49" xfId="0" applyNumberFormat="1" applyFont="1" applyFill="1" applyBorder="1" applyAlignment="1">
      <alignment horizontal="center" vertical="center" wrapText="1"/>
    </xf>
    <xf numFmtId="0" fontId="4" fillId="25" borderId="49" xfId="0" applyFont="1" applyFill="1" applyBorder="1" applyAlignment="1">
      <alignment horizontal="center" vertical="center" wrapText="1"/>
    </xf>
    <xf numFmtId="0" fontId="12" fillId="25" borderId="56" xfId="0" applyFont="1" applyFill="1" applyBorder="1" applyAlignment="1">
      <alignment horizontal="center"/>
    </xf>
    <xf numFmtId="0" fontId="12" fillId="25" borderId="17" xfId="0" applyFont="1" applyFill="1" applyBorder="1" applyAlignment="1">
      <alignment horizontal="center"/>
    </xf>
    <xf numFmtId="168" fontId="28" fillId="0" borderId="30" xfId="1026" applyNumberFormat="1" applyFont="1" applyFill="1" applyBorder="1" applyAlignment="1">
      <alignment horizontal="left" vertical="center" wrapText="1"/>
    </xf>
    <xf numFmtId="0" fontId="12" fillId="0" borderId="55" xfId="0" applyFont="1" applyFill="1" applyBorder="1" applyAlignment="1">
      <alignment horizontal="center" vertical="center" wrapText="1"/>
    </xf>
    <xf numFmtId="1" fontId="12" fillId="0" borderId="13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1" fontId="12" fillId="0" borderId="109" xfId="0" applyNumberFormat="1" applyFont="1" applyFill="1" applyBorder="1" applyAlignment="1">
      <alignment horizontal="center" vertical="center" wrapText="1"/>
    </xf>
    <xf numFmtId="2" fontId="14" fillId="0" borderId="107" xfId="1026" applyNumberFormat="1" applyFont="1" applyFill="1" applyBorder="1" applyAlignment="1">
      <alignment horizontal="center" vertical="center" wrapText="1"/>
    </xf>
    <xf numFmtId="168" fontId="14" fillId="0" borderId="28" xfId="1026" applyNumberFormat="1" applyFont="1" applyFill="1" applyBorder="1" applyAlignment="1">
      <alignment horizontal="center" vertical="center"/>
    </xf>
    <xf numFmtId="166" fontId="14" fillId="0" borderId="119" xfId="1040" applyNumberFormat="1" applyFont="1" applyFill="1" applyBorder="1" applyAlignment="1" applyProtection="1">
      <alignment horizontal="center" vertical="center"/>
    </xf>
    <xf numFmtId="166" fontId="14" fillId="0" borderId="13" xfId="1040" applyNumberFormat="1" applyFont="1" applyFill="1" applyBorder="1" applyAlignment="1" applyProtection="1">
      <alignment horizontal="center" vertical="center"/>
    </xf>
    <xf numFmtId="1" fontId="14" fillId="0" borderId="120" xfId="1026" applyNumberFormat="1" applyFont="1" applyFill="1" applyBorder="1" applyAlignment="1">
      <alignment horizontal="center" vertical="center" wrapText="1"/>
    </xf>
    <xf numFmtId="49" fontId="14" fillId="0" borderId="22" xfId="1026" applyNumberFormat="1" applyFont="1" applyFill="1" applyBorder="1" applyAlignment="1">
      <alignment horizontal="center" vertical="center" wrapText="1"/>
    </xf>
    <xf numFmtId="168" fontId="14" fillId="0" borderId="107" xfId="0" applyNumberFormat="1" applyFont="1" applyFill="1" applyBorder="1" applyAlignment="1">
      <alignment horizontal="center" vertical="center" wrapText="1"/>
    </xf>
    <xf numFmtId="0" fontId="14" fillId="0" borderId="63" xfId="1026" applyNumberFormat="1" applyFont="1" applyFill="1" applyBorder="1" applyAlignment="1">
      <alignment horizontal="center" vertical="center" wrapText="1"/>
    </xf>
    <xf numFmtId="168" fontId="30" fillId="0" borderId="30" xfId="1026" applyNumberFormat="1" applyFont="1" applyFill="1" applyBorder="1" applyAlignment="1">
      <alignment horizontal="left" vertical="center" wrapText="1"/>
    </xf>
    <xf numFmtId="0" fontId="28" fillId="0" borderId="24" xfId="0" applyFont="1" applyFill="1" applyBorder="1" applyAlignment="1">
      <alignment horizontal="center" vertical="center"/>
    </xf>
    <xf numFmtId="168" fontId="14" fillId="0" borderId="30" xfId="1026" applyNumberFormat="1" applyFont="1" applyFill="1" applyBorder="1" applyAlignment="1">
      <alignment horizontal="center" vertical="center" wrapText="1"/>
    </xf>
    <xf numFmtId="168" fontId="14" fillId="0" borderId="44" xfId="1026" applyNumberFormat="1" applyFont="1" applyFill="1" applyBorder="1" applyAlignment="1">
      <alignment horizontal="center" vertical="center" wrapText="1"/>
    </xf>
    <xf numFmtId="1" fontId="12" fillId="26" borderId="11" xfId="0" applyNumberFormat="1" applyFont="1" applyFill="1" applyBorder="1" applyAlignment="1">
      <alignment vertical="center"/>
    </xf>
    <xf numFmtId="0" fontId="2" fillId="26" borderId="18" xfId="0" applyFont="1" applyFill="1" applyBorder="1"/>
    <xf numFmtId="0" fontId="12" fillId="26" borderId="94" xfId="0" applyFont="1" applyFill="1" applyBorder="1" applyAlignment="1">
      <alignment horizontal="center"/>
    </xf>
    <xf numFmtId="0" fontId="12" fillId="26" borderId="49" xfId="0" applyFont="1" applyFill="1" applyBorder="1" applyAlignment="1">
      <alignment horizontal="center"/>
    </xf>
    <xf numFmtId="168" fontId="12" fillId="26" borderId="49" xfId="0" applyNumberFormat="1" applyFont="1" applyFill="1" applyBorder="1" applyAlignment="1">
      <alignment horizontal="center"/>
    </xf>
    <xf numFmtId="1" fontId="12" fillId="25" borderId="11" xfId="0" applyNumberFormat="1" applyFont="1" applyFill="1" applyBorder="1"/>
    <xf numFmtId="0" fontId="2" fillId="25" borderId="38" xfId="0" applyFont="1" applyFill="1" applyBorder="1"/>
    <xf numFmtId="1" fontId="2" fillId="0" borderId="70" xfId="0" applyNumberFormat="1" applyFont="1" applyFill="1" applyBorder="1"/>
    <xf numFmtId="1" fontId="23" fillId="0" borderId="38" xfId="1026" applyNumberFormat="1" applyFont="1" applyFill="1" applyBorder="1" applyAlignment="1">
      <alignment horizontal="left" vertical="center" wrapText="1"/>
    </xf>
    <xf numFmtId="0" fontId="2" fillId="0" borderId="40" xfId="0" applyFont="1" applyFill="1" applyBorder="1"/>
    <xf numFmtId="0" fontId="12" fillId="0" borderId="38" xfId="0" applyFont="1" applyFill="1" applyBorder="1" applyAlignment="1">
      <alignment horizontal="center" vertical="center" wrapText="1"/>
    </xf>
    <xf numFmtId="166" fontId="14" fillId="0" borderId="121" xfId="1040" applyNumberFormat="1" applyFont="1" applyFill="1" applyBorder="1" applyAlignment="1" applyProtection="1">
      <alignment horizontal="center" vertical="center" wrapText="1"/>
    </xf>
    <xf numFmtId="0" fontId="36" fillId="26" borderId="15" xfId="0" applyFont="1" applyFill="1" applyBorder="1" applyAlignment="1">
      <alignment vertical="center"/>
    </xf>
    <xf numFmtId="1" fontId="12" fillId="26" borderId="49" xfId="0" applyNumberFormat="1" applyFont="1" applyFill="1" applyBorder="1" applyAlignment="1">
      <alignment horizontal="center"/>
    </xf>
    <xf numFmtId="1" fontId="12" fillId="26" borderId="48" xfId="0" applyNumberFormat="1" applyFont="1" applyFill="1" applyBorder="1" applyAlignment="1">
      <alignment horizontal="center"/>
    </xf>
    <xf numFmtId="9" fontId="14" fillId="25" borderId="11" xfId="1026" applyNumberFormat="1" applyFont="1" applyFill="1" applyBorder="1" applyAlignment="1">
      <alignment horizontal="center" vertical="center"/>
    </xf>
    <xf numFmtId="0" fontId="1" fillId="0" borderId="109" xfId="0" applyFont="1" applyBorder="1"/>
    <xf numFmtId="49" fontId="14" fillId="0" borderId="122" xfId="1026" applyNumberFormat="1" applyFont="1" applyFill="1" applyBorder="1" applyAlignment="1">
      <alignment horizontal="center" vertical="center" wrapText="1"/>
    </xf>
    <xf numFmtId="168" fontId="14" fillId="0" borderId="32" xfId="1026" applyNumberFormat="1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left" vertical="center"/>
    </xf>
    <xf numFmtId="0" fontId="14" fillId="0" borderId="29" xfId="0" applyFont="1" applyFill="1" applyBorder="1" applyAlignment="1">
      <alignment horizontal="center" vertical="center"/>
    </xf>
    <xf numFmtId="168" fontId="14" fillId="0" borderId="29" xfId="0" applyNumberFormat="1" applyFont="1" applyFill="1" applyBorder="1" applyAlignment="1">
      <alignment horizontal="center" vertical="center" wrapText="1"/>
    </xf>
    <xf numFmtId="0" fontId="27" fillId="0" borderId="35" xfId="1026" applyFont="1" applyFill="1" applyBorder="1" applyAlignment="1">
      <alignment horizontal="left" vertical="center" wrapText="1"/>
    </xf>
    <xf numFmtId="0" fontId="14" fillId="0" borderId="35" xfId="0" applyFont="1" applyFill="1" applyBorder="1" applyAlignment="1">
      <alignment horizontal="left" vertical="center" wrapText="1"/>
    </xf>
    <xf numFmtId="0" fontId="1" fillId="0" borderId="117" xfId="0" applyFont="1" applyFill="1" applyBorder="1"/>
    <xf numFmtId="0" fontId="27" fillId="0" borderId="89" xfId="1026" applyFont="1" applyFill="1" applyBorder="1" applyAlignment="1">
      <alignment horizontal="left" vertical="center" wrapText="1"/>
    </xf>
    <xf numFmtId="0" fontId="1" fillId="0" borderId="44" xfId="0" applyFont="1" applyFill="1" applyBorder="1"/>
    <xf numFmtId="0" fontId="1" fillId="0" borderId="118" xfId="0" applyFont="1" applyFill="1" applyBorder="1"/>
    <xf numFmtId="0" fontId="14" fillId="25" borderId="11" xfId="1026" applyFont="1" applyFill="1" applyBorder="1" applyAlignment="1">
      <alignment horizontal="center" vertical="center"/>
    </xf>
    <xf numFmtId="1" fontId="23" fillId="0" borderId="15" xfId="1026" applyNumberFormat="1" applyFont="1" applyFill="1" applyBorder="1" applyAlignment="1">
      <alignment horizontal="left" vertical="center" wrapText="1"/>
    </xf>
    <xf numFmtId="0" fontId="1" fillId="0" borderId="56" xfId="0" applyFont="1" applyFill="1" applyBorder="1"/>
    <xf numFmtId="0" fontId="8" fillId="0" borderId="17" xfId="0" applyFont="1" applyFill="1" applyBorder="1"/>
    <xf numFmtId="0" fontId="27" fillId="0" borderId="57" xfId="0" applyFont="1" applyFill="1" applyBorder="1" applyAlignment="1">
      <alignment horizontal="center" vertical="center" wrapText="1"/>
    </xf>
    <xf numFmtId="0" fontId="23" fillId="0" borderId="35" xfId="1026" applyFont="1" applyFill="1" applyBorder="1" applyAlignment="1">
      <alignment horizontal="left" vertical="center" wrapText="1"/>
    </xf>
    <xf numFmtId="1" fontId="14" fillId="0" borderId="35" xfId="1026" applyNumberFormat="1" applyFont="1" applyFill="1" applyBorder="1" applyAlignment="1">
      <alignment horizontal="center" vertical="center" wrapText="1"/>
    </xf>
    <xf numFmtId="0" fontId="8" fillId="0" borderId="54" xfId="0" applyFont="1" applyFill="1" applyBorder="1"/>
    <xf numFmtId="0" fontId="1" fillId="0" borderId="38" xfId="0" applyFont="1" applyFill="1" applyBorder="1"/>
    <xf numFmtId="1" fontId="1" fillId="0" borderId="0" xfId="0" applyNumberFormat="1" applyFont="1" applyFill="1" applyBorder="1"/>
    <xf numFmtId="0" fontId="27" fillId="0" borderId="30" xfId="0" applyFont="1" applyFill="1" applyBorder="1" applyAlignment="1">
      <alignment horizontal="left" vertical="center" wrapText="1"/>
    </xf>
    <xf numFmtId="0" fontId="27" fillId="0" borderId="30" xfId="0" applyFont="1" applyFill="1" applyBorder="1" applyAlignment="1">
      <alignment horizontal="center" vertical="center" wrapText="1"/>
    </xf>
    <xf numFmtId="166" fontId="14" fillId="0" borderId="29" xfId="1040" applyNumberFormat="1" applyFont="1" applyFill="1" applyBorder="1" applyAlignment="1" applyProtection="1">
      <alignment horizontal="center" vertical="center" wrapText="1"/>
    </xf>
    <xf numFmtId="0" fontId="14" fillId="0" borderId="32" xfId="0" applyFont="1" applyFill="1" applyBorder="1" applyAlignment="1">
      <alignment horizontal="center" vertical="center"/>
    </xf>
    <xf numFmtId="0" fontId="14" fillId="28" borderId="25" xfId="0" applyFont="1" applyFill="1" applyBorder="1" applyAlignment="1">
      <alignment horizontal="center" vertical="center"/>
    </xf>
    <xf numFmtId="1" fontId="14" fillId="28" borderId="25" xfId="1026" applyNumberFormat="1" applyFont="1" applyFill="1" applyBorder="1" applyAlignment="1">
      <alignment horizontal="center" vertical="center"/>
    </xf>
    <xf numFmtId="0" fontId="23" fillId="0" borderId="24" xfId="1026" applyFont="1" applyFill="1" applyBorder="1" applyAlignment="1">
      <alignment horizontal="left" vertical="center" wrapText="1"/>
    </xf>
    <xf numFmtId="0" fontId="23" fillId="0" borderId="63" xfId="1026" applyFont="1" applyFill="1" applyBorder="1" applyAlignment="1">
      <alignment horizontal="left" vertical="center" wrapText="1"/>
    </xf>
    <xf numFmtId="166" fontId="14" fillId="28" borderId="24" xfId="1040" applyNumberFormat="1" applyFont="1" applyFill="1" applyBorder="1" applyAlignment="1" applyProtection="1">
      <alignment horizontal="center" vertical="center" wrapText="1"/>
    </xf>
    <xf numFmtId="166" fontId="14" fillId="28" borderId="25" xfId="1040" applyNumberFormat="1" applyFont="1" applyFill="1" applyBorder="1" applyAlignment="1" applyProtection="1">
      <alignment horizontal="center" vertical="center"/>
    </xf>
    <xf numFmtId="166" fontId="14" fillId="28" borderId="28" xfId="1040" applyNumberFormat="1" applyFont="1" applyFill="1" applyBorder="1" applyAlignment="1" applyProtection="1">
      <alignment horizontal="center" vertical="center"/>
    </xf>
    <xf numFmtId="1" fontId="14" fillId="28" borderId="28" xfId="1040" applyNumberFormat="1" applyFont="1" applyFill="1" applyBorder="1" applyAlignment="1" applyProtection="1">
      <alignment horizontal="center" vertical="center"/>
    </xf>
    <xf numFmtId="1" fontId="14" fillId="28" borderId="25" xfId="1040" applyNumberFormat="1" applyFont="1" applyFill="1" applyBorder="1" applyAlignment="1" applyProtection="1">
      <alignment horizontal="center" vertical="center"/>
    </xf>
    <xf numFmtId="0" fontId="1" fillId="26" borderId="54" xfId="0" applyFont="1" applyFill="1" applyBorder="1"/>
    <xf numFmtId="3" fontId="12" fillId="26" borderId="14" xfId="0" applyNumberFormat="1" applyFont="1" applyFill="1" applyBorder="1" applyAlignment="1">
      <alignment horizontal="center"/>
    </xf>
    <xf numFmtId="3" fontId="12" fillId="26" borderId="115" xfId="0" applyNumberFormat="1" applyFont="1" applyFill="1" applyBorder="1" applyAlignment="1">
      <alignment horizontal="center"/>
    </xf>
    <xf numFmtId="0" fontId="12" fillId="26" borderId="52" xfId="0" applyFont="1" applyFill="1" applyBorder="1" applyAlignment="1">
      <alignment horizontal="center" vertical="center" wrapText="1"/>
    </xf>
    <xf numFmtId="1" fontId="12" fillId="26" borderId="14" xfId="0" applyNumberFormat="1" applyFont="1" applyFill="1" applyBorder="1" applyAlignment="1">
      <alignment horizontal="center" vertical="center" wrapText="1"/>
    </xf>
    <xf numFmtId="0" fontId="12" fillId="26" borderId="14" xfId="0" applyFont="1" applyFill="1" applyBorder="1" applyAlignment="1">
      <alignment horizontal="center" vertical="center" wrapText="1"/>
    </xf>
    <xf numFmtId="1" fontId="12" fillId="26" borderId="38" xfId="0" applyNumberFormat="1" applyFont="1" applyFill="1" applyBorder="1" applyAlignment="1">
      <alignment horizontal="center" vertical="center" wrapText="1"/>
    </xf>
    <xf numFmtId="0" fontId="14" fillId="26" borderId="22" xfId="1026" applyFont="1" applyFill="1" applyBorder="1" applyAlignment="1">
      <alignment horizontal="center" vertical="center"/>
    </xf>
    <xf numFmtId="0" fontId="4" fillId="25" borderId="123" xfId="0" applyFont="1" applyFill="1" applyBorder="1" applyAlignment="1">
      <alignment horizontal="center" vertical="center" wrapText="1"/>
    </xf>
    <xf numFmtId="0" fontId="4" fillId="25" borderId="124" xfId="0" applyFont="1" applyFill="1" applyBorder="1" applyAlignment="1">
      <alignment horizontal="center" vertical="center" wrapText="1"/>
    </xf>
    <xf numFmtId="0" fontId="12" fillId="25" borderId="125" xfId="0" applyFont="1" applyFill="1" applyBorder="1" applyAlignment="1">
      <alignment horizontal="center"/>
    </xf>
    <xf numFmtId="0" fontId="12" fillId="25" borderId="126" xfId="0" applyFont="1" applyFill="1" applyBorder="1" applyAlignment="1">
      <alignment horizontal="center"/>
    </xf>
    <xf numFmtId="0" fontId="12" fillId="25" borderId="127" xfId="0" applyFont="1" applyFill="1" applyBorder="1" applyAlignment="1">
      <alignment horizontal="center"/>
    </xf>
    <xf numFmtId="0" fontId="1" fillId="25" borderId="128" xfId="0" applyFont="1" applyFill="1" applyBorder="1"/>
    <xf numFmtId="0" fontId="1" fillId="25" borderId="129" xfId="0" applyFont="1" applyFill="1" applyBorder="1"/>
    <xf numFmtId="3" fontId="12" fillId="25" borderId="80" xfId="0" applyNumberFormat="1" applyFont="1" applyFill="1" applyBorder="1" applyAlignment="1">
      <alignment horizontal="center"/>
    </xf>
    <xf numFmtId="3" fontId="12" fillId="25" borderId="82" xfId="0" applyNumberFormat="1" applyFont="1" applyFill="1" applyBorder="1" applyAlignment="1">
      <alignment horizontal="center"/>
    </xf>
    <xf numFmtId="0" fontId="14" fillId="25" borderId="130" xfId="1026" applyFont="1" applyFill="1" applyBorder="1" applyAlignment="1">
      <alignment horizontal="center" vertical="center"/>
    </xf>
    <xf numFmtId="1" fontId="12" fillId="26" borderId="113" xfId="0" applyNumberFormat="1" applyFont="1" applyFill="1" applyBorder="1" applyAlignment="1">
      <alignment horizontal="center"/>
    </xf>
    <xf numFmtId="168" fontId="14" fillId="0" borderId="24" xfId="1040" applyNumberFormat="1" applyFont="1" applyFill="1" applyBorder="1" applyAlignment="1" applyProtection="1">
      <alignment horizontal="center" vertical="center"/>
    </xf>
    <xf numFmtId="1" fontId="14" fillId="0" borderId="0" xfId="0" applyNumberFormat="1" applyFont="1" applyFill="1" applyBorder="1" applyAlignment="1">
      <alignment horizontal="center" vertical="center"/>
    </xf>
    <xf numFmtId="0" fontId="14" fillId="0" borderId="108" xfId="0" applyFont="1" applyFill="1" applyBorder="1" applyAlignment="1">
      <alignment horizontal="center" vertical="center" wrapText="1"/>
    </xf>
    <xf numFmtId="1" fontId="14" fillId="0" borderId="108" xfId="0" applyNumberFormat="1" applyFont="1" applyFill="1" applyBorder="1" applyAlignment="1">
      <alignment horizontal="center" vertical="center" wrapText="1"/>
    </xf>
    <xf numFmtId="1" fontId="14" fillId="0" borderId="28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1" fontId="14" fillId="0" borderId="99" xfId="0" applyNumberFormat="1" applyFont="1" applyFill="1" applyBorder="1" applyAlignment="1">
      <alignment horizontal="center" vertical="center"/>
    </xf>
    <xf numFmtId="1" fontId="14" fillId="0" borderId="0" xfId="1040" applyNumberFormat="1" applyFont="1" applyFill="1" applyBorder="1" applyAlignment="1" applyProtection="1">
      <alignment horizontal="center" vertical="center"/>
    </xf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38" fillId="0" borderId="129" xfId="1028" applyFont="1" applyFill="1" applyBorder="1" applyProtection="1">
      <protection locked="0"/>
    </xf>
    <xf numFmtId="0" fontId="38" fillId="0" borderId="0" xfId="1028" applyFont="1" applyFill="1" applyBorder="1" applyProtection="1">
      <protection locked="0"/>
    </xf>
    <xf numFmtId="0" fontId="39" fillId="0" borderId="129" xfId="1028" applyFont="1" applyFill="1" applyBorder="1" applyAlignment="1" applyProtection="1">
      <alignment horizontal="center"/>
      <protection locked="0"/>
    </xf>
    <xf numFmtId="171" fontId="20" fillId="0" borderId="129" xfId="0" applyNumberFormat="1" applyFont="1" applyFill="1" applyBorder="1" applyAlignment="1">
      <alignment horizontal="center"/>
    </xf>
    <xf numFmtId="0" fontId="20" fillId="0" borderId="129" xfId="0" applyFont="1" applyFill="1" applyBorder="1" applyAlignment="1">
      <alignment horizontal="center"/>
    </xf>
    <xf numFmtId="0" fontId="39" fillId="0" borderId="0" xfId="1028" applyFont="1" applyFill="1" applyBorder="1" applyAlignment="1" applyProtection="1">
      <alignment horizontal="center"/>
      <protection locked="0"/>
    </xf>
    <xf numFmtId="4" fontId="40" fillId="0" borderId="0" xfId="1028" applyNumberFormat="1" applyFont="1" applyFill="1" applyBorder="1" applyAlignment="1" applyProtection="1">
      <alignment horizontal="center" vertical="center"/>
      <protection locked="0" hidden="1"/>
    </xf>
    <xf numFmtId="0" fontId="1" fillId="0" borderId="0" xfId="0" applyFont="1" applyFill="1" applyAlignment="1" applyProtection="1">
      <alignment vertical="center"/>
      <protection locked="0"/>
    </xf>
    <xf numFmtId="0" fontId="40" fillId="27" borderId="141" xfId="1028" applyFont="1" applyFill="1" applyBorder="1" applyAlignment="1" applyProtection="1">
      <alignment horizontal="center" vertical="center" wrapText="1"/>
      <protection hidden="1"/>
    </xf>
    <xf numFmtId="0" fontId="40" fillId="27" borderId="142" xfId="1028" applyFont="1" applyFill="1" applyBorder="1" applyAlignment="1" applyProtection="1">
      <alignment horizontal="center" vertical="center" wrapText="1"/>
      <protection locked="0"/>
    </xf>
    <xf numFmtId="0" fontId="40" fillId="27" borderId="142" xfId="1028" applyFont="1" applyFill="1" applyBorder="1" applyAlignment="1" applyProtection="1">
      <alignment horizontal="center" vertical="center" wrapText="1"/>
      <protection hidden="1"/>
    </xf>
    <xf numFmtId="0" fontId="40" fillId="27" borderId="143" xfId="1028" applyFont="1" applyFill="1" applyBorder="1" applyAlignment="1" applyProtection="1">
      <alignment horizontal="center" vertical="center" wrapText="1"/>
      <protection hidden="1"/>
    </xf>
    <xf numFmtId="0" fontId="40" fillId="29" borderId="141" xfId="1028" applyFont="1" applyFill="1" applyBorder="1" applyAlignment="1" applyProtection="1">
      <alignment horizontal="center" vertical="center" wrapText="1"/>
      <protection hidden="1"/>
    </xf>
    <xf numFmtId="0" fontId="40" fillId="29" borderId="142" xfId="1028" applyFont="1" applyFill="1" applyBorder="1" applyAlignment="1" applyProtection="1">
      <alignment horizontal="center" vertical="center" wrapText="1"/>
      <protection hidden="1"/>
    </xf>
    <xf numFmtId="0" fontId="40" fillId="29" borderId="144" xfId="1028" applyFont="1" applyFill="1" applyBorder="1" applyAlignment="1" applyProtection="1">
      <alignment horizontal="center" vertical="center" wrapText="1"/>
      <protection hidden="1"/>
    </xf>
    <xf numFmtId="0" fontId="40" fillId="0" borderId="145" xfId="1028" applyFont="1" applyFill="1" applyBorder="1" applyAlignment="1" applyProtection="1">
      <alignment horizontal="center" vertical="center"/>
      <protection locked="0"/>
    </xf>
    <xf numFmtId="3" fontId="40" fillId="0" borderId="146" xfId="1028" applyNumberFormat="1" applyFont="1" applyFill="1" applyBorder="1" applyAlignment="1" applyProtection="1">
      <alignment horizontal="center" vertical="center"/>
      <protection locked="0"/>
    </xf>
    <xf numFmtId="3" fontId="40" fillId="0" borderId="147" xfId="1028" applyNumberFormat="1" applyFont="1" applyFill="1" applyBorder="1" applyAlignment="1" applyProtection="1">
      <alignment horizontal="center" vertical="center"/>
      <protection locked="0"/>
    </xf>
    <xf numFmtId="1" fontId="40" fillId="0" borderId="148" xfId="1028" applyNumberFormat="1" applyFont="1" applyFill="1" applyBorder="1" applyAlignment="1" applyProtection="1">
      <alignment horizontal="center" vertical="center"/>
      <protection locked="0"/>
    </xf>
    <xf numFmtId="3" fontId="40" fillId="0" borderId="147" xfId="1028" applyNumberFormat="1" applyFont="1" applyFill="1" applyBorder="1" applyAlignment="1" applyProtection="1">
      <alignment horizontal="center" vertical="center"/>
      <protection locked="0" hidden="1"/>
    </xf>
    <xf numFmtId="3" fontId="40" fillId="0" borderId="149" xfId="1028" applyNumberFormat="1" applyFont="1" applyFill="1" applyBorder="1" applyAlignment="1" applyProtection="1">
      <alignment horizontal="center" vertical="center"/>
      <protection locked="0"/>
    </xf>
    <xf numFmtId="0" fontId="40" fillId="0" borderId="64" xfId="1028" applyFont="1" applyFill="1" applyBorder="1" applyAlignment="1" applyProtection="1">
      <alignment horizontal="center" vertical="center"/>
      <protection locked="0"/>
    </xf>
    <xf numFmtId="3" fontId="40" fillId="0" borderId="150" xfId="1028" applyNumberFormat="1" applyFont="1" applyFill="1" applyBorder="1" applyAlignment="1" applyProtection="1">
      <alignment horizontal="center" vertical="center"/>
      <protection hidden="1"/>
    </xf>
    <xf numFmtId="3" fontId="40" fillId="0" borderId="30" xfId="1028" applyNumberFormat="1" applyFont="1" applyFill="1" applyBorder="1" applyAlignment="1" applyProtection="1">
      <alignment horizontal="center" vertical="center"/>
      <protection hidden="1"/>
    </xf>
    <xf numFmtId="1" fontId="40" fillId="0" borderId="29" xfId="1028" applyNumberFormat="1" applyFont="1" applyFill="1" applyBorder="1" applyAlignment="1" applyProtection="1">
      <alignment horizontal="center" vertical="center"/>
    </xf>
    <xf numFmtId="1" fontId="40" fillId="0" borderId="150" xfId="1028" applyNumberFormat="1" applyFont="1" applyFill="1" applyBorder="1" applyAlignment="1" applyProtection="1">
      <alignment horizontal="center" vertical="center"/>
    </xf>
    <xf numFmtId="3" fontId="40" fillId="0" borderId="36" xfId="1028" applyNumberFormat="1" applyFont="1" applyFill="1" applyBorder="1" applyAlignment="1" applyProtection="1">
      <alignment horizontal="center" vertical="center"/>
      <protection hidden="1"/>
    </xf>
    <xf numFmtId="172" fontId="1" fillId="0" borderId="0" xfId="0" applyNumberFormat="1" applyFont="1" applyFill="1" applyAlignment="1" applyProtection="1">
      <alignment vertical="center"/>
      <protection locked="0"/>
    </xf>
    <xf numFmtId="173" fontId="1" fillId="0" borderId="0" xfId="0" applyNumberFormat="1" applyFont="1" applyFill="1" applyAlignment="1" applyProtection="1">
      <alignment vertical="center"/>
      <protection locked="0"/>
    </xf>
    <xf numFmtId="174" fontId="1" fillId="0" borderId="0" xfId="0" applyNumberFormat="1" applyFont="1" applyFill="1" applyAlignment="1" applyProtection="1">
      <alignment vertical="center"/>
      <protection locked="0"/>
    </xf>
    <xf numFmtId="168" fontId="1" fillId="0" borderId="0" xfId="0" applyNumberFormat="1" applyFont="1" applyFill="1" applyAlignment="1" applyProtection="1">
      <alignment vertical="center"/>
      <protection locked="0"/>
    </xf>
    <xf numFmtId="0" fontId="40" fillId="0" borderId="151" xfId="1028" applyFont="1" applyFill="1" applyBorder="1" applyAlignment="1" applyProtection="1">
      <alignment horizontal="center" vertical="center"/>
      <protection locked="0"/>
    </xf>
    <xf numFmtId="3" fontId="40" fillId="0" borderId="43" xfId="1028" applyNumberFormat="1" applyFont="1" applyFill="1" applyBorder="1" applyAlignment="1" applyProtection="1">
      <alignment horizontal="center" vertical="center"/>
      <protection hidden="1"/>
    </xf>
    <xf numFmtId="1" fontId="40" fillId="0" borderId="152" xfId="1028" applyNumberFormat="1" applyFont="1" applyFill="1" applyBorder="1" applyAlignment="1" applyProtection="1">
      <alignment horizontal="center" vertical="center"/>
    </xf>
    <xf numFmtId="3" fontId="1" fillId="0" borderId="0" xfId="0" applyNumberFormat="1" applyFont="1" applyFill="1" applyAlignment="1" applyProtection="1">
      <alignment vertical="center"/>
      <protection locked="0"/>
    </xf>
    <xf numFmtId="0" fontId="40" fillId="0" borderId="154" xfId="1028" applyFont="1" applyFill="1" applyBorder="1" applyAlignment="1" applyProtection="1">
      <alignment horizontal="center" vertical="center"/>
      <protection locked="0"/>
    </xf>
    <xf numFmtId="3" fontId="40" fillId="0" borderId="155" xfId="1028" applyNumberFormat="1" applyFont="1" applyFill="1" applyBorder="1" applyAlignment="1" applyProtection="1">
      <alignment horizontal="center" vertical="center"/>
      <protection hidden="1"/>
    </xf>
    <xf numFmtId="3" fontId="40" fillId="0" borderId="156" xfId="1028" applyNumberFormat="1" applyFont="1" applyFill="1" applyBorder="1" applyAlignment="1" applyProtection="1">
      <alignment horizontal="center" vertical="center"/>
      <protection hidden="1"/>
    </xf>
    <xf numFmtId="0" fontId="40" fillId="0" borderId="157" xfId="1028" applyFont="1" applyFill="1" applyBorder="1" applyAlignment="1" applyProtection="1">
      <alignment horizontal="center" vertical="center"/>
      <protection locked="0"/>
    </xf>
    <xf numFmtId="1" fontId="44" fillId="0" borderId="146" xfId="1028" applyNumberFormat="1" applyFont="1" applyFill="1" applyBorder="1" applyAlignment="1" applyProtection="1">
      <alignment horizontal="center" vertical="center"/>
    </xf>
    <xf numFmtId="3" fontId="43" fillId="0" borderId="147" xfId="1028" applyNumberFormat="1" applyFont="1" applyFill="1" applyBorder="1" applyAlignment="1" applyProtection="1">
      <alignment horizontal="center" vertical="center"/>
    </xf>
    <xf numFmtId="3" fontId="43" fillId="0" borderId="148" xfId="1028" applyNumberFormat="1" applyFont="1" applyFill="1" applyBorder="1" applyAlignment="1" applyProtection="1">
      <alignment horizontal="center" vertical="center"/>
    </xf>
    <xf numFmtId="3" fontId="43" fillId="0" borderId="158" xfId="1028" applyNumberFormat="1" applyFont="1" applyFill="1" applyBorder="1" applyAlignment="1" applyProtection="1">
      <alignment horizontal="center" vertical="center"/>
    </xf>
    <xf numFmtId="1" fontId="40" fillId="0" borderId="149" xfId="1028" applyNumberFormat="1" applyFont="1" applyFill="1" applyBorder="1" applyAlignment="1" applyProtection="1">
      <alignment horizontal="center" vertical="center"/>
    </xf>
    <xf numFmtId="1" fontId="44" fillId="0" borderId="150" xfId="1028" applyNumberFormat="1" applyFont="1" applyFill="1" applyBorder="1" applyAlignment="1" applyProtection="1">
      <alignment horizontal="center" vertical="center"/>
    </xf>
    <xf numFmtId="3" fontId="43" fillId="0" borderId="30" xfId="1028" applyNumberFormat="1" applyFont="1" applyFill="1" applyBorder="1" applyAlignment="1" applyProtection="1">
      <alignment horizontal="center" vertical="center"/>
    </xf>
    <xf numFmtId="3" fontId="43" fillId="0" borderId="29" xfId="1028" applyNumberFormat="1" applyFont="1" applyFill="1" applyBorder="1" applyAlignment="1" applyProtection="1">
      <alignment horizontal="center" vertical="center"/>
    </xf>
    <xf numFmtId="3" fontId="43" fillId="0" borderId="159" xfId="1028" applyNumberFormat="1" applyFont="1" applyFill="1" applyBorder="1" applyAlignment="1" applyProtection="1">
      <alignment horizontal="center" vertical="center"/>
    </xf>
    <xf numFmtId="1" fontId="40" fillId="0" borderId="36" xfId="1028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1" fontId="44" fillId="0" borderId="126" xfId="1028" applyNumberFormat="1" applyFont="1" applyFill="1" applyBorder="1" applyAlignment="1" applyProtection="1">
      <alignment horizontal="center" vertical="center"/>
    </xf>
    <xf numFmtId="3" fontId="43" fillId="0" borderId="155" xfId="1028" applyNumberFormat="1" applyFont="1" applyFill="1" applyBorder="1" applyAlignment="1" applyProtection="1">
      <alignment horizontal="center" vertical="center"/>
    </xf>
    <xf numFmtId="3" fontId="43" fillId="0" borderId="127" xfId="1028" applyNumberFormat="1" applyFont="1" applyFill="1" applyBorder="1" applyAlignment="1" applyProtection="1">
      <alignment horizontal="center" vertical="center"/>
    </xf>
    <xf numFmtId="1" fontId="40" fillId="0" borderId="156" xfId="1028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Alignment="1" applyProtection="1">
      <alignment vertical="center"/>
      <protection locked="0"/>
    </xf>
    <xf numFmtId="3" fontId="45" fillId="0" borderId="147" xfId="1028" applyNumberFormat="1" applyFont="1" applyFill="1" applyBorder="1" applyAlignment="1" applyProtection="1">
      <alignment horizontal="center" vertical="center"/>
      <protection locked="0"/>
    </xf>
    <xf numFmtId="3" fontId="45" fillId="0" borderId="148" xfId="1028" applyNumberFormat="1" applyFont="1" applyFill="1" applyBorder="1" applyAlignment="1" applyProtection="1">
      <alignment horizontal="center" vertical="center"/>
      <protection locked="0"/>
    </xf>
    <xf numFmtId="3" fontId="45" fillId="0" borderId="30" xfId="1028" applyNumberFormat="1" applyFont="1" applyFill="1" applyBorder="1" applyAlignment="1" applyProtection="1">
      <alignment horizontal="center" vertical="center"/>
      <protection locked="0"/>
    </xf>
    <xf numFmtId="3" fontId="45" fillId="0" borderId="30" xfId="1031" applyNumberFormat="1" applyFont="1" applyFill="1" applyBorder="1" applyAlignment="1" applyProtection="1">
      <alignment horizontal="center" vertical="center"/>
      <protection locked="0"/>
    </xf>
    <xf numFmtId="3" fontId="45" fillId="0" borderId="29" xfId="1031" applyNumberFormat="1" applyFont="1" applyFill="1" applyBorder="1" applyAlignment="1" applyProtection="1">
      <alignment horizontal="center" vertical="center"/>
      <protection locked="0"/>
    </xf>
    <xf numFmtId="1" fontId="45" fillId="0" borderId="36" xfId="1031" applyNumberFormat="1" applyFont="1" applyFill="1" applyBorder="1" applyAlignment="1" applyProtection="1">
      <alignment horizontal="center" vertical="center"/>
      <protection locked="0"/>
    </xf>
    <xf numFmtId="3" fontId="45" fillId="0" borderId="43" xfId="1028" applyNumberFormat="1" applyFont="1" applyFill="1" applyBorder="1" applyAlignment="1" applyProtection="1">
      <alignment horizontal="center" vertical="center"/>
      <protection locked="0"/>
    </xf>
    <xf numFmtId="3" fontId="45" fillId="0" borderId="43" xfId="1031" applyNumberFormat="1" applyFont="1" applyFill="1" applyBorder="1" applyAlignment="1" applyProtection="1">
      <alignment horizontal="center" vertical="center"/>
      <protection locked="0"/>
    </xf>
    <xf numFmtId="0" fontId="40" fillId="0" borderId="88" xfId="1028" applyFont="1" applyFill="1" applyBorder="1" applyAlignment="1" applyProtection="1">
      <alignment horizontal="center" vertical="center"/>
      <protection locked="0"/>
    </xf>
    <xf numFmtId="3" fontId="45" fillId="0" borderId="44" xfId="1028" applyNumberFormat="1" applyFont="1" applyFill="1" applyBorder="1" applyAlignment="1" applyProtection="1">
      <alignment horizontal="center" vertical="center"/>
      <protection locked="0"/>
    </xf>
    <xf numFmtId="3" fontId="45" fillId="0" borderId="44" xfId="1031" applyNumberFormat="1" applyFont="1" applyFill="1" applyBorder="1" applyAlignment="1" applyProtection="1">
      <alignment horizontal="center" vertical="center"/>
      <protection locked="0"/>
    </xf>
    <xf numFmtId="3" fontId="45" fillId="0" borderId="134" xfId="1031" applyNumberFormat="1" applyFont="1" applyFill="1" applyBorder="1" applyAlignment="1" applyProtection="1">
      <alignment horizontal="center" vertical="center"/>
      <protection locked="0"/>
    </xf>
    <xf numFmtId="1" fontId="45" fillId="0" borderId="46" xfId="1031" applyNumberFormat="1" applyFont="1" applyFill="1" applyBorder="1" applyAlignment="1" applyProtection="1">
      <alignment horizontal="center" vertical="center"/>
      <protection locked="0"/>
    </xf>
    <xf numFmtId="0" fontId="40" fillId="0" borderId="62" xfId="1028" applyFont="1" applyFill="1" applyBorder="1" applyAlignment="1" applyProtection="1">
      <alignment horizontal="center" vertical="center"/>
      <protection locked="0"/>
    </xf>
    <xf numFmtId="1" fontId="40" fillId="0" borderId="67" xfId="1028" applyNumberFormat="1" applyFont="1" applyFill="1" applyBorder="1" applyAlignment="1" applyProtection="1">
      <alignment horizontal="center" vertical="center"/>
      <protection locked="0"/>
    </xf>
    <xf numFmtId="3" fontId="40" fillId="0" borderId="57" xfId="1028" applyNumberFormat="1" applyFont="1" applyFill="1" applyBorder="1" applyAlignment="1" applyProtection="1">
      <alignment horizontal="center" vertical="center"/>
      <protection locked="0"/>
    </xf>
    <xf numFmtId="3" fontId="40" fillId="0" borderId="32" xfId="1028" applyNumberFormat="1" applyFont="1" applyFill="1" applyBorder="1" applyAlignment="1" applyProtection="1">
      <alignment horizontal="center" vertical="center"/>
      <protection locked="0"/>
    </xf>
    <xf numFmtId="1" fontId="40" fillId="0" borderId="90" xfId="1028" applyNumberFormat="1" applyFont="1" applyFill="1" applyBorder="1" applyAlignment="1" applyProtection="1">
      <alignment horizontal="center" vertical="center"/>
      <protection locked="0"/>
    </xf>
    <xf numFmtId="14" fontId="1" fillId="0" borderId="0" xfId="0" applyNumberFormat="1" applyFont="1" applyFill="1" applyAlignment="1" applyProtection="1">
      <alignment vertical="center"/>
      <protection locked="0"/>
    </xf>
    <xf numFmtId="1" fontId="1" fillId="0" borderId="0" xfId="0" applyNumberFormat="1" applyFont="1" applyFill="1" applyAlignment="1" applyProtection="1">
      <alignment vertical="center"/>
      <protection locked="0"/>
    </xf>
    <xf numFmtId="1" fontId="40" fillId="0" borderId="150" xfId="1031" applyNumberFormat="1" applyFont="1" applyFill="1" applyBorder="1" applyAlignment="1" applyProtection="1">
      <alignment horizontal="center" vertical="center"/>
      <protection locked="0"/>
    </xf>
    <xf numFmtId="3" fontId="40" fillId="0" borderId="30" xfId="1028" applyNumberFormat="1" applyFont="1" applyFill="1" applyBorder="1" applyAlignment="1" applyProtection="1">
      <alignment horizontal="center" vertical="center"/>
      <protection locked="0"/>
    </xf>
    <xf numFmtId="3" fontId="40" fillId="0" borderId="30" xfId="1031" applyNumberFormat="1" applyFont="1" applyFill="1" applyBorder="1" applyAlignment="1" applyProtection="1">
      <alignment horizontal="center" vertical="center"/>
      <protection locked="0"/>
    </xf>
    <xf numFmtId="3" fontId="40" fillId="0" borderId="29" xfId="1031" applyNumberFormat="1" applyFont="1" applyFill="1" applyBorder="1" applyAlignment="1" applyProtection="1">
      <alignment horizontal="center" vertical="center"/>
      <protection locked="0"/>
    </xf>
    <xf numFmtId="1" fontId="40" fillId="0" borderId="36" xfId="1031" applyNumberFormat="1" applyFont="1" applyFill="1" applyBorder="1" applyAlignment="1" applyProtection="1">
      <alignment horizontal="center" vertical="center"/>
      <protection locked="0"/>
    </xf>
    <xf numFmtId="166" fontId="1" fillId="0" borderId="0" xfId="0" applyNumberFormat="1" applyFont="1" applyFill="1" applyAlignment="1" applyProtection="1">
      <alignment vertical="center"/>
      <protection locked="0"/>
    </xf>
    <xf numFmtId="1" fontId="40" fillId="0" borderId="152" xfId="1031" applyNumberFormat="1" applyFont="1" applyFill="1" applyBorder="1" applyAlignment="1" applyProtection="1">
      <alignment horizontal="center" vertical="center"/>
      <protection locked="0"/>
    </xf>
    <xf numFmtId="3" fontId="40" fillId="0" borderId="43" xfId="1028" applyNumberFormat="1" applyFont="1" applyFill="1" applyBorder="1" applyAlignment="1" applyProtection="1">
      <alignment horizontal="center" vertical="center"/>
      <protection locked="0"/>
    </xf>
    <xf numFmtId="3" fontId="40" fillId="0" borderId="43" xfId="1031" applyNumberFormat="1" applyFont="1" applyFill="1" applyBorder="1" applyAlignment="1" applyProtection="1">
      <alignment horizontal="center" vertical="center"/>
      <protection locked="0"/>
    </xf>
    <xf numFmtId="3" fontId="40" fillId="0" borderId="160" xfId="1028" applyNumberFormat="1" applyFont="1" applyFill="1" applyBorder="1" applyAlignment="1" applyProtection="1">
      <alignment horizontal="center" vertical="center"/>
      <protection locked="0"/>
    </xf>
    <xf numFmtId="1" fontId="40" fillId="0" borderId="153" xfId="1031" applyNumberFormat="1" applyFont="1" applyFill="1" applyBorder="1" applyAlignment="1" applyProtection="1">
      <alignment horizontal="center" vertical="center"/>
      <protection locked="0"/>
    </xf>
    <xf numFmtId="1" fontId="40" fillId="0" borderId="161" xfId="1031" applyNumberFormat="1" applyFont="1" applyFill="1" applyBorder="1" applyAlignment="1" applyProtection="1">
      <alignment horizontal="center" vertical="center"/>
      <protection locked="0"/>
    </xf>
    <xf numFmtId="3" fontId="40" fillId="0" borderId="44" xfId="1028" applyNumberFormat="1" applyFont="1" applyFill="1" applyBorder="1" applyAlignment="1" applyProtection="1">
      <alignment horizontal="center" vertical="center"/>
      <protection locked="0"/>
    </xf>
    <xf numFmtId="3" fontId="40" fillId="0" borderId="44" xfId="1031" applyNumberFormat="1" applyFont="1" applyFill="1" applyBorder="1" applyAlignment="1" applyProtection="1">
      <alignment horizontal="center" vertical="center"/>
      <protection locked="0"/>
    </xf>
    <xf numFmtId="3" fontId="40" fillId="0" borderId="134" xfId="1031" applyNumberFormat="1" applyFont="1" applyFill="1" applyBorder="1" applyAlignment="1" applyProtection="1">
      <alignment horizontal="center" vertical="center"/>
      <protection locked="0"/>
    </xf>
    <xf numFmtId="1" fontId="40" fillId="0" borderId="46" xfId="1031" applyNumberFormat="1" applyFont="1" applyFill="1" applyBorder="1" applyAlignment="1" applyProtection="1">
      <alignment horizontal="center" vertical="center"/>
      <protection locked="0"/>
    </xf>
    <xf numFmtId="0" fontId="40" fillId="0" borderId="98" xfId="1028" applyFont="1" applyFill="1" applyBorder="1" applyAlignment="1" applyProtection="1">
      <alignment horizontal="center" vertical="center"/>
      <protection locked="0"/>
    </xf>
    <xf numFmtId="1" fontId="40" fillId="0" borderId="122" xfId="1028" applyNumberFormat="1" applyFont="1" applyFill="1" applyBorder="1" applyAlignment="1" applyProtection="1">
      <alignment horizontal="center" vertical="center"/>
      <protection locked="0"/>
    </xf>
    <xf numFmtId="3" fontId="40" fillId="0" borderId="33" xfId="1028" applyNumberFormat="1" applyFont="1" applyFill="1" applyBorder="1" applyAlignment="1" applyProtection="1">
      <alignment horizontal="center" vertical="center"/>
      <protection locked="0"/>
    </xf>
    <xf numFmtId="3" fontId="40" fillId="0" borderId="137" xfId="1028" applyNumberFormat="1" applyFont="1" applyFill="1" applyBorder="1" applyAlignment="1" applyProtection="1">
      <alignment horizontal="center" vertical="center"/>
      <protection locked="0"/>
    </xf>
    <xf numFmtId="1" fontId="40" fillId="0" borderId="101" xfId="1028" applyNumberFormat="1" applyFont="1" applyFill="1" applyBorder="1" applyAlignment="1" applyProtection="1">
      <alignment horizontal="center" vertical="center"/>
      <protection locked="0"/>
    </xf>
    <xf numFmtId="3" fontId="40" fillId="0" borderId="57" xfId="1028" applyNumberFormat="1" applyFont="1" applyFill="1" applyBorder="1" applyAlignment="1" applyProtection="1">
      <alignment horizontal="center" vertical="center"/>
      <protection hidden="1"/>
    </xf>
    <xf numFmtId="3" fontId="40" fillId="0" borderId="44" xfId="1028" applyNumberFormat="1" applyFont="1" applyFill="1" applyBorder="1" applyAlignment="1" applyProtection="1">
      <alignment horizontal="center" vertical="center"/>
      <protection hidden="1"/>
    </xf>
    <xf numFmtId="1" fontId="45" fillId="0" borderId="150" xfId="1031" applyNumberFormat="1" applyFont="1" applyFill="1" applyBorder="1" applyAlignment="1" applyProtection="1">
      <alignment horizontal="center" vertical="center"/>
      <protection locked="0"/>
    </xf>
    <xf numFmtId="1" fontId="45" fillId="0" borderId="152" xfId="1031" applyNumberFormat="1" applyFont="1" applyFill="1" applyBorder="1" applyAlignment="1" applyProtection="1">
      <alignment horizontal="center" vertical="center"/>
      <protection locked="0"/>
    </xf>
    <xf numFmtId="1" fontId="45" fillId="0" borderId="161" xfId="1031" applyNumberFormat="1" applyFont="1" applyFill="1" applyBorder="1" applyAlignment="1" applyProtection="1">
      <alignment horizontal="center" vertical="center"/>
      <protection locked="0"/>
    </xf>
    <xf numFmtId="3" fontId="40" fillId="0" borderId="136" xfId="1031" applyNumberFormat="1" applyFont="1" applyFill="1" applyBorder="1" applyAlignment="1" applyProtection="1">
      <alignment horizontal="center" vertical="center"/>
      <protection locked="0"/>
    </xf>
    <xf numFmtId="0" fontId="40" fillId="0" borderId="162" xfId="1028" applyFont="1" applyFill="1" applyBorder="1" applyAlignment="1" applyProtection="1">
      <alignment horizontal="center" vertical="center"/>
      <protection locked="0"/>
    </xf>
    <xf numFmtId="1" fontId="40" fillId="0" borderId="19" xfId="1031" applyNumberFormat="1" applyFont="1" applyFill="1" applyBorder="1" applyAlignment="1" applyProtection="1">
      <alignment horizontal="center" vertical="center"/>
      <protection locked="0"/>
    </xf>
    <xf numFmtId="3" fontId="40" fillId="0" borderId="163" xfId="1028" applyNumberFormat="1" applyFont="1" applyFill="1" applyBorder="1" applyAlignment="1" applyProtection="1">
      <alignment horizontal="center" vertical="center"/>
      <protection locked="0"/>
    </xf>
    <xf numFmtId="3" fontId="40" fillId="0" borderId="163" xfId="1028" applyNumberFormat="1" applyFont="1" applyFill="1" applyBorder="1" applyAlignment="1" applyProtection="1">
      <alignment horizontal="center" vertical="center"/>
      <protection hidden="1"/>
    </xf>
    <xf numFmtId="3" fontId="40" fillId="0" borderId="20" xfId="1031" applyNumberFormat="1" applyFont="1" applyFill="1" applyBorder="1" applyAlignment="1" applyProtection="1">
      <alignment horizontal="center" vertical="center"/>
      <protection locked="0"/>
    </xf>
    <xf numFmtId="1" fontId="40" fillId="0" borderId="21" xfId="1031" applyNumberFormat="1" applyFont="1" applyFill="1" applyBorder="1" applyAlignment="1" applyProtection="1">
      <alignment horizontal="center" vertical="center"/>
      <protection locked="0"/>
    </xf>
    <xf numFmtId="0" fontId="40" fillId="0" borderId="53" xfId="1028" applyFont="1" applyFill="1" applyBorder="1" applyAlignment="1" applyProtection="1">
      <alignment horizontal="center" vertical="center"/>
      <protection locked="0"/>
    </xf>
    <xf numFmtId="1" fontId="40" fillId="0" borderId="56" xfId="1031" applyNumberFormat="1" applyFont="1" applyFill="1" applyBorder="1" applyAlignment="1" applyProtection="1">
      <alignment horizontal="center" vertical="center"/>
      <protection locked="0"/>
    </xf>
    <xf numFmtId="3" fontId="40" fillId="0" borderId="11" xfId="1028" applyNumberFormat="1" applyFont="1" applyFill="1" applyBorder="1" applyAlignment="1" applyProtection="1">
      <alignment horizontal="center" vertical="center"/>
      <protection locked="0"/>
    </xf>
    <xf numFmtId="3" fontId="40" fillId="0" borderId="11" xfId="1028" applyNumberFormat="1" applyFont="1" applyFill="1" applyBorder="1" applyAlignment="1" applyProtection="1">
      <alignment horizontal="center" vertical="center"/>
      <protection hidden="1"/>
    </xf>
    <xf numFmtId="3" fontId="40" fillId="0" borderId="17" xfId="1031" applyNumberFormat="1" applyFont="1" applyFill="1" applyBorder="1" applyAlignment="1" applyProtection="1">
      <alignment horizontal="center" vertical="center"/>
      <protection locked="0"/>
    </xf>
    <xf numFmtId="1" fontId="40" fillId="0" borderId="18" xfId="1031" applyNumberFormat="1" applyFont="1" applyFill="1" applyBorder="1" applyAlignment="1" applyProtection="1">
      <alignment horizontal="center" vertical="center"/>
      <protection locked="0"/>
    </xf>
    <xf numFmtId="1" fontId="40" fillId="0" borderId="146" xfId="1028" applyNumberFormat="1" applyFont="1" applyFill="1" applyBorder="1" applyAlignment="1" applyProtection="1">
      <alignment horizontal="center" vertical="center"/>
      <protection locked="0"/>
    </xf>
    <xf numFmtId="3" fontId="40" fillId="0" borderId="148" xfId="1028" applyNumberFormat="1" applyFont="1" applyFill="1" applyBorder="1" applyAlignment="1" applyProtection="1">
      <alignment horizontal="center" vertical="center"/>
      <protection locked="0"/>
    </xf>
    <xf numFmtId="1" fontId="40" fillId="0" borderId="122" xfId="1028" applyNumberFormat="1" applyFont="1" applyFill="1" applyBorder="1" applyAlignment="1" applyProtection="1">
      <alignment horizontal="center" vertical="center"/>
    </xf>
    <xf numFmtId="3" fontId="40" fillId="0" borderId="137" xfId="1028" applyNumberFormat="1" applyFont="1" applyFill="1" applyBorder="1" applyAlignment="1" applyProtection="1">
      <alignment horizontal="center" vertical="center"/>
    </xf>
    <xf numFmtId="1" fontId="40" fillId="0" borderId="101" xfId="1028" applyNumberFormat="1" applyFont="1" applyFill="1" applyBorder="1" applyAlignment="1" applyProtection="1">
      <alignment horizontal="center" vertical="center"/>
    </xf>
    <xf numFmtId="3" fontId="40" fillId="0" borderId="29" xfId="1028" applyNumberFormat="1" applyFont="1" applyFill="1" applyBorder="1" applyAlignment="1" applyProtection="1">
      <alignment horizontal="center" vertical="center"/>
    </xf>
    <xf numFmtId="1" fontId="40" fillId="0" borderId="161" xfId="1028" applyNumberFormat="1" applyFont="1" applyFill="1" applyBorder="1" applyAlignment="1" applyProtection="1">
      <alignment horizontal="center" vertical="center"/>
    </xf>
    <xf numFmtId="3" fontId="40" fillId="0" borderId="134" xfId="1028" applyNumberFormat="1" applyFont="1" applyFill="1" applyBorder="1" applyAlignment="1" applyProtection="1">
      <alignment horizontal="center" vertical="center"/>
    </xf>
    <xf numFmtId="1" fontId="40" fillId="0" borderId="46" xfId="1028" applyNumberFormat="1" applyFont="1" applyFill="1" applyBorder="1" applyAlignment="1" applyProtection="1">
      <alignment horizontal="center" vertical="center"/>
    </xf>
    <xf numFmtId="1" fontId="40" fillId="0" borderId="150" xfId="1028" applyNumberFormat="1" applyFont="1" applyFill="1" applyBorder="1" applyAlignment="1" applyProtection="1">
      <alignment horizontal="center" vertical="center"/>
      <protection locked="0"/>
    </xf>
    <xf numFmtId="3" fontId="40" fillId="0" borderId="29" xfId="1028" applyNumberFormat="1" applyFont="1" applyFill="1" applyBorder="1" applyAlignment="1" applyProtection="1">
      <alignment horizontal="center" vertical="center"/>
      <protection locked="0"/>
    </xf>
    <xf numFmtId="1" fontId="40" fillId="0" borderId="36" xfId="1028" applyNumberFormat="1" applyFont="1" applyFill="1" applyBorder="1" applyAlignment="1" applyProtection="1">
      <alignment horizontal="center" vertical="center"/>
      <protection locked="0"/>
    </xf>
    <xf numFmtId="1" fontId="40" fillId="0" borderId="161" xfId="1028" applyNumberFormat="1" applyFont="1" applyFill="1" applyBorder="1" applyAlignment="1" applyProtection="1">
      <alignment horizontal="center" vertical="center"/>
      <protection locked="0"/>
    </xf>
    <xf numFmtId="3" fontId="40" fillId="0" borderId="134" xfId="1028" applyNumberFormat="1" applyFont="1" applyFill="1" applyBorder="1" applyAlignment="1" applyProtection="1">
      <alignment horizontal="center" vertical="center"/>
      <protection locked="0"/>
    </xf>
    <xf numFmtId="1" fontId="40" fillId="0" borderId="46" xfId="1028" applyNumberFormat="1" applyFont="1" applyFill="1" applyBorder="1" applyAlignment="1" applyProtection="1">
      <alignment horizontal="center" vertical="center"/>
      <protection locked="0"/>
    </xf>
    <xf numFmtId="3" fontId="40" fillId="0" borderId="57" xfId="1031" applyNumberFormat="1" applyFont="1" applyFill="1" applyBorder="1" applyAlignment="1" applyProtection="1">
      <alignment horizontal="center" vertical="center"/>
      <protection locked="0"/>
    </xf>
    <xf numFmtId="1" fontId="40" fillId="0" borderId="126" xfId="1028" applyNumberFormat="1" applyFont="1" applyFill="1" applyBorder="1" applyAlignment="1" applyProtection="1">
      <alignment horizontal="center" vertical="center"/>
      <protection locked="0"/>
    </xf>
    <xf numFmtId="3" fontId="40" fillId="0" borderId="155" xfId="1028" applyNumberFormat="1" applyFont="1" applyFill="1" applyBorder="1" applyAlignment="1" applyProtection="1">
      <alignment horizontal="center" vertical="center"/>
      <protection locked="0"/>
    </xf>
    <xf numFmtId="3" fontId="40" fillId="0" borderId="155" xfId="1031" applyNumberFormat="1" applyFont="1" applyFill="1" applyBorder="1" applyAlignment="1" applyProtection="1">
      <alignment horizontal="center" vertical="center"/>
      <protection locked="0"/>
    </xf>
    <xf numFmtId="3" fontId="40" fillId="0" borderId="127" xfId="1028" applyNumberFormat="1" applyFont="1" applyFill="1" applyBorder="1" applyAlignment="1" applyProtection="1">
      <alignment horizontal="center" vertical="center"/>
      <protection locked="0"/>
    </xf>
    <xf numFmtId="1" fontId="40" fillId="0" borderId="156" xfId="1028" applyNumberFormat="1" applyFont="1" applyFill="1" applyBorder="1" applyAlignment="1" applyProtection="1">
      <alignment horizontal="center" vertical="center"/>
      <protection locked="0"/>
    </xf>
    <xf numFmtId="1" fontId="40" fillId="0" borderId="141" xfId="1031" applyNumberFormat="1" applyFont="1" applyFill="1" applyBorder="1" applyAlignment="1" applyProtection="1">
      <alignment horizontal="center" vertical="center"/>
      <protection locked="0"/>
    </xf>
    <xf numFmtId="3" fontId="1" fillId="0" borderId="142" xfId="0" applyNumberFormat="1" applyFont="1" applyFill="1" applyBorder="1" applyAlignment="1" applyProtection="1">
      <alignment vertical="center"/>
      <protection locked="0"/>
    </xf>
    <xf numFmtId="3" fontId="40" fillId="0" borderId="143" xfId="1031" applyNumberFormat="1" applyFont="1" applyFill="1" applyBorder="1" applyAlignment="1" applyProtection="1">
      <alignment horizontal="center" vertical="center"/>
      <protection locked="0"/>
    </xf>
    <xf numFmtId="1" fontId="40" fillId="0" borderId="144" xfId="1031" applyNumberFormat="1" applyFont="1" applyFill="1" applyBorder="1" applyAlignment="1" applyProtection="1">
      <alignment horizontal="center" vertical="center"/>
      <protection locked="0"/>
    </xf>
    <xf numFmtId="1" fontId="40" fillId="0" borderId="146" xfId="1031" applyNumberFormat="1" applyFont="1" applyFill="1" applyBorder="1" applyAlignment="1" applyProtection="1">
      <alignment horizontal="center" vertical="center"/>
      <protection locked="0"/>
    </xf>
    <xf numFmtId="3" fontId="40" fillId="0" borderId="147" xfId="1031" applyNumberFormat="1" applyFont="1" applyFill="1" applyBorder="1" applyAlignment="1" applyProtection="1">
      <alignment horizontal="center" vertical="center"/>
      <protection locked="0"/>
    </xf>
    <xf numFmtId="3" fontId="40" fillId="0" borderId="148" xfId="1031" applyNumberFormat="1" applyFont="1" applyFill="1" applyBorder="1" applyAlignment="1" applyProtection="1">
      <alignment horizontal="center" vertical="center"/>
      <protection locked="0"/>
    </xf>
    <xf numFmtId="1" fontId="40" fillId="0" borderId="149" xfId="1031" applyNumberFormat="1" applyFont="1" applyFill="1" applyBorder="1" applyAlignment="1" applyProtection="1">
      <alignment horizontal="center" vertical="center"/>
      <protection locked="0"/>
    </xf>
    <xf numFmtId="1" fontId="40" fillId="0" borderId="67" xfId="1031" applyNumberFormat="1" applyFont="1" applyFill="1" applyBorder="1" applyAlignment="1" applyProtection="1">
      <alignment horizontal="center" vertical="center"/>
      <protection locked="0"/>
    </xf>
    <xf numFmtId="3" fontId="40" fillId="0" borderId="32" xfId="1031" applyNumberFormat="1" applyFont="1" applyFill="1" applyBorder="1" applyAlignment="1" applyProtection="1">
      <alignment horizontal="center" vertical="center"/>
      <protection locked="0"/>
    </xf>
    <xf numFmtId="1" fontId="40" fillId="0" borderId="90" xfId="1031" applyNumberFormat="1" applyFont="1" applyFill="1" applyBorder="1" applyAlignment="1" applyProtection="1">
      <alignment horizontal="center" vertical="center"/>
      <protection locked="0"/>
    </xf>
    <xf numFmtId="3" fontId="43" fillId="0" borderId="44" xfId="1028" applyNumberFormat="1" applyFont="1" applyFill="1" applyBorder="1" applyAlignment="1" applyProtection="1">
      <alignment horizontal="center" vertical="center"/>
      <protection locked="0"/>
    </xf>
    <xf numFmtId="1" fontId="40" fillId="0" borderId="122" xfId="1031" applyNumberFormat="1" applyFont="1" applyFill="1" applyBorder="1" applyAlignment="1" applyProtection="1">
      <alignment horizontal="center" vertical="center"/>
      <protection locked="0"/>
    </xf>
    <xf numFmtId="3" fontId="40" fillId="0" borderId="33" xfId="1031" applyNumberFormat="1" applyFont="1" applyFill="1" applyBorder="1" applyAlignment="1" applyProtection="1">
      <alignment horizontal="center" vertical="center"/>
      <protection locked="0"/>
    </xf>
    <xf numFmtId="1" fontId="40" fillId="0" borderId="101" xfId="1031" applyNumberFormat="1" applyFont="1" applyFill="1" applyBorder="1" applyAlignment="1" applyProtection="1">
      <alignment horizontal="center" vertical="center"/>
      <protection locked="0"/>
    </xf>
    <xf numFmtId="1" fontId="40" fillId="0" borderId="22" xfId="1031" applyNumberFormat="1" applyFont="1" applyFill="1" applyBorder="1" applyAlignment="1" applyProtection="1">
      <alignment horizontal="center" vertical="center"/>
      <protection locked="0"/>
    </xf>
    <xf numFmtId="1" fontId="40" fillId="0" borderId="39" xfId="1031" applyNumberFormat="1" applyFont="1" applyFill="1" applyBorder="1" applyAlignment="1" applyProtection="1">
      <alignment horizontal="center" vertical="center"/>
      <protection locked="0"/>
    </xf>
    <xf numFmtId="3" fontId="45" fillId="0" borderId="33" xfId="1028" applyNumberFormat="1" applyFont="1" applyFill="1" applyBorder="1" applyAlignment="1" applyProtection="1">
      <alignment horizontal="center" vertical="center"/>
      <protection locked="0"/>
    </xf>
    <xf numFmtId="0" fontId="45" fillId="0" borderId="98" xfId="1028" applyFont="1" applyFill="1" applyBorder="1" applyAlignment="1" applyProtection="1">
      <alignment horizontal="center" vertical="center"/>
      <protection locked="0"/>
    </xf>
    <xf numFmtId="1" fontId="45" fillId="0" borderId="122" xfId="1031" applyNumberFormat="1" applyFont="1" applyFill="1" applyBorder="1" applyAlignment="1" applyProtection="1">
      <alignment horizontal="center" vertical="center"/>
      <protection locked="0"/>
    </xf>
    <xf numFmtId="3" fontId="45" fillId="0" borderId="33" xfId="1031" applyNumberFormat="1" applyFont="1" applyFill="1" applyBorder="1" applyAlignment="1" applyProtection="1">
      <alignment horizontal="center" vertical="center"/>
      <protection locked="0"/>
    </xf>
    <xf numFmtId="3" fontId="45" fillId="0" borderId="137" xfId="1031" applyNumberFormat="1" applyFont="1" applyFill="1" applyBorder="1" applyAlignment="1" applyProtection="1">
      <alignment horizontal="center" vertical="center"/>
      <protection locked="0"/>
    </xf>
    <xf numFmtId="3" fontId="43" fillId="0" borderId="30" xfId="1028" applyNumberFormat="1" applyFont="1" applyFill="1" applyBorder="1" applyAlignment="1" applyProtection="1">
      <alignment horizontal="center" vertical="center"/>
      <protection locked="0"/>
    </xf>
    <xf numFmtId="3" fontId="45" fillId="0" borderId="136" xfId="1031" applyNumberFormat="1" applyFont="1" applyFill="1" applyBorder="1" applyAlignment="1" applyProtection="1">
      <alignment horizontal="center" vertical="center"/>
      <protection locked="0"/>
    </xf>
    <xf numFmtId="3" fontId="40" fillId="0" borderId="146" xfId="1028" applyNumberFormat="1" applyFont="1" applyFill="1" applyBorder="1" applyAlignment="1" applyProtection="1">
      <alignment horizontal="center" vertical="center"/>
      <protection hidden="1"/>
    </xf>
    <xf numFmtId="3" fontId="40" fillId="0" borderId="147" xfId="1028" applyNumberFormat="1" applyFont="1" applyFill="1" applyBorder="1" applyAlignment="1" applyProtection="1">
      <alignment horizontal="center" vertical="center"/>
      <protection hidden="1"/>
    </xf>
    <xf numFmtId="3" fontId="47" fillId="0" borderId="147" xfId="1028" applyNumberFormat="1" applyFont="1" applyFill="1" applyBorder="1" applyAlignment="1" applyProtection="1">
      <alignment horizontal="center" vertical="center"/>
      <protection hidden="1"/>
    </xf>
    <xf numFmtId="3" fontId="40" fillId="0" borderId="148" xfId="1028" applyNumberFormat="1" applyFont="1" applyFill="1" applyBorder="1" applyAlignment="1" applyProtection="1">
      <alignment horizontal="center" vertical="center"/>
    </xf>
    <xf numFmtId="1" fontId="40" fillId="0" borderId="146" xfId="1028" applyNumberFormat="1" applyFont="1" applyFill="1" applyBorder="1" applyAlignment="1" applyProtection="1">
      <alignment horizontal="center" vertical="center"/>
    </xf>
    <xf numFmtId="3" fontId="40" fillId="0" borderId="149" xfId="1028" applyNumberFormat="1" applyFont="1" applyFill="1" applyBorder="1" applyAlignment="1" applyProtection="1">
      <alignment horizontal="center" vertical="center"/>
      <protection hidden="1"/>
    </xf>
    <xf numFmtId="3" fontId="40" fillId="0" borderId="161" xfId="1028" applyNumberFormat="1" applyFont="1" applyFill="1" applyBorder="1" applyAlignment="1" applyProtection="1">
      <alignment horizontal="center" vertical="center"/>
      <protection hidden="1"/>
    </xf>
    <xf numFmtId="3" fontId="40" fillId="0" borderId="164" xfId="1028" applyNumberFormat="1" applyFont="1" applyFill="1" applyBorder="1" applyAlignment="1" applyProtection="1">
      <alignment horizontal="center" vertical="center"/>
      <protection hidden="1"/>
    </xf>
    <xf numFmtId="3" fontId="40" fillId="0" borderId="46" xfId="1028" applyNumberFormat="1" applyFont="1" applyFill="1" applyBorder="1" applyAlignment="1" applyProtection="1">
      <alignment horizontal="center" vertical="center"/>
      <protection hidden="1"/>
    </xf>
    <xf numFmtId="3" fontId="40" fillId="0" borderId="33" xfId="1028" applyNumberFormat="1" applyFont="1" applyFill="1" applyBorder="1" applyAlignment="1" applyProtection="1">
      <alignment horizontal="center" vertical="center"/>
      <protection hidden="1"/>
    </xf>
    <xf numFmtId="3" fontId="40" fillId="0" borderId="101" xfId="1028" applyNumberFormat="1" applyFont="1" applyFill="1" applyBorder="1" applyAlignment="1" applyProtection="1">
      <alignment horizontal="center" vertical="center"/>
      <protection hidden="1"/>
    </xf>
    <xf numFmtId="3" fontId="40" fillId="0" borderId="32" xfId="1028" applyNumberFormat="1" applyFont="1" applyFill="1" applyBorder="1" applyAlignment="1" applyProtection="1">
      <alignment horizontal="center" vertical="center"/>
    </xf>
    <xf numFmtId="1" fontId="40" fillId="0" borderId="67" xfId="1028" applyNumberFormat="1" applyFont="1" applyFill="1" applyBorder="1" applyAlignment="1" applyProtection="1">
      <alignment horizontal="center" vertical="center"/>
    </xf>
    <xf numFmtId="3" fontId="40" fillId="0" borderId="90" xfId="1028" applyNumberFormat="1" applyFont="1" applyFill="1" applyBorder="1" applyAlignment="1" applyProtection="1">
      <alignment horizontal="center" vertical="center"/>
      <protection hidden="1"/>
    </xf>
    <xf numFmtId="3" fontId="40" fillId="0" borderId="126" xfId="1028" applyNumberFormat="1" applyFont="1" applyFill="1" applyBorder="1" applyAlignment="1" applyProtection="1">
      <alignment horizontal="center" vertical="center"/>
      <protection hidden="1"/>
    </xf>
    <xf numFmtId="3" fontId="40" fillId="0" borderId="127" xfId="1028" applyNumberFormat="1" applyFont="1" applyFill="1" applyBorder="1" applyAlignment="1" applyProtection="1">
      <alignment horizontal="center" vertical="center"/>
    </xf>
    <xf numFmtId="3" fontId="40" fillId="0" borderId="141" xfId="1028" applyNumberFormat="1" applyFont="1" applyFill="1" applyBorder="1" applyAlignment="1" applyProtection="1">
      <alignment horizontal="center" vertical="center"/>
      <protection hidden="1"/>
    </xf>
    <xf numFmtId="3" fontId="40" fillId="0" borderId="142" xfId="1028" applyNumberFormat="1" applyFont="1" applyFill="1" applyBorder="1" applyAlignment="1" applyProtection="1">
      <alignment horizontal="center" vertical="center"/>
      <protection hidden="1"/>
    </xf>
    <xf numFmtId="3" fontId="40" fillId="0" borderId="143" xfId="1028" applyNumberFormat="1" applyFont="1" applyFill="1" applyBorder="1" applyAlignment="1" applyProtection="1">
      <alignment horizontal="center" vertical="center"/>
    </xf>
    <xf numFmtId="1" fontId="40" fillId="0" borderId="141" xfId="1028" applyNumberFormat="1" applyFont="1" applyFill="1" applyBorder="1" applyAlignment="1" applyProtection="1">
      <alignment horizontal="center" vertical="center"/>
    </xf>
    <xf numFmtId="3" fontId="40" fillId="0" borderId="144" xfId="1028" applyNumberFormat="1" applyFont="1" applyFill="1" applyBorder="1" applyAlignment="1" applyProtection="1">
      <alignment horizontal="center" vertical="center"/>
      <protection hidden="1"/>
    </xf>
    <xf numFmtId="0" fontId="45" fillId="0" borderId="145" xfId="1028" applyFont="1" applyFill="1" applyBorder="1" applyAlignment="1" applyProtection="1">
      <alignment horizontal="center" vertical="center"/>
      <protection locked="0"/>
    </xf>
    <xf numFmtId="1" fontId="45" fillId="0" borderId="146" xfId="1031" applyNumberFormat="1" applyFont="1" applyFill="1" applyBorder="1" applyAlignment="1" applyProtection="1">
      <alignment horizontal="center" vertical="center"/>
      <protection locked="0"/>
    </xf>
    <xf numFmtId="3" fontId="45" fillId="0" borderId="147" xfId="1031" applyNumberFormat="1" applyFont="1" applyFill="1" applyBorder="1" applyAlignment="1" applyProtection="1">
      <alignment horizontal="center" vertical="center"/>
      <protection locked="0" hidden="1"/>
    </xf>
    <xf numFmtId="3" fontId="45" fillId="0" borderId="148" xfId="1031" applyNumberFormat="1" applyFont="1" applyFill="1" applyBorder="1" applyAlignment="1" applyProtection="1">
      <alignment horizontal="center" vertical="center"/>
      <protection locked="0"/>
    </xf>
    <xf numFmtId="3" fontId="45" fillId="0" borderId="147" xfId="1028" applyNumberFormat="1" applyFont="1" applyFill="1" applyBorder="1" applyAlignment="1" applyProtection="1">
      <alignment horizontal="center" vertical="center"/>
      <protection locked="0" hidden="1"/>
    </xf>
    <xf numFmtId="0" fontId="45" fillId="0" borderId="62" xfId="1028" applyFont="1" applyFill="1" applyBorder="1" applyAlignment="1" applyProtection="1">
      <alignment horizontal="center" vertical="center"/>
      <protection locked="0"/>
    </xf>
    <xf numFmtId="1" fontId="45" fillId="0" borderId="67" xfId="1031" applyNumberFormat="1" applyFont="1" applyFill="1" applyBorder="1" applyAlignment="1" applyProtection="1">
      <alignment horizontal="center" vertical="center"/>
      <protection locked="0"/>
    </xf>
    <xf numFmtId="3" fontId="45" fillId="0" borderId="57" xfId="1028" applyNumberFormat="1" applyFont="1" applyFill="1" applyBorder="1" applyAlignment="1" applyProtection="1">
      <alignment horizontal="center" vertical="center"/>
      <protection locked="0" hidden="1"/>
    </xf>
    <xf numFmtId="3" fontId="45" fillId="0" borderId="57" xfId="1031" applyNumberFormat="1" applyFont="1" applyFill="1" applyBorder="1" applyAlignment="1" applyProtection="1">
      <alignment horizontal="center" vertical="center"/>
      <protection locked="0" hidden="1"/>
    </xf>
    <xf numFmtId="3" fontId="45" fillId="0" borderId="32" xfId="1031" applyNumberFormat="1" applyFont="1" applyFill="1" applyBorder="1" applyAlignment="1" applyProtection="1">
      <alignment horizontal="center" vertical="center"/>
      <protection locked="0"/>
    </xf>
    <xf numFmtId="3" fontId="45" fillId="0" borderId="166" xfId="1028" applyNumberFormat="1" applyFont="1" applyFill="1" applyBorder="1" applyAlignment="1" applyProtection="1">
      <alignment horizontal="center" vertical="center"/>
      <protection locked="0" hidden="1"/>
    </xf>
    <xf numFmtId="1" fontId="45" fillId="0" borderId="90" xfId="1031" applyNumberFormat="1" applyFont="1" applyFill="1" applyBorder="1" applyAlignment="1" applyProtection="1">
      <alignment horizontal="center" vertical="center"/>
      <protection locked="0"/>
    </xf>
    <xf numFmtId="0" fontId="21" fillId="0" borderId="62" xfId="1028" applyFont="1" applyFill="1" applyBorder="1" applyAlignment="1" applyProtection="1">
      <alignment horizontal="center" vertical="center"/>
      <protection locked="0"/>
    </xf>
    <xf numFmtId="3" fontId="40" fillId="0" borderId="57" xfId="1028" applyNumberFormat="1" applyFont="1" applyFill="1" applyBorder="1" applyAlignment="1" applyProtection="1">
      <alignment horizontal="center" vertical="center"/>
      <protection locked="0" hidden="1"/>
    </xf>
    <xf numFmtId="3" fontId="40" fillId="0" borderId="57" xfId="1031" applyNumberFormat="1" applyFont="1" applyFill="1" applyBorder="1" applyAlignment="1" applyProtection="1">
      <alignment horizontal="center" vertical="center"/>
      <protection locked="0" hidden="1"/>
    </xf>
    <xf numFmtId="0" fontId="21" fillId="0" borderId="167" xfId="1028" applyFont="1" applyFill="1" applyBorder="1" applyAlignment="1" applyProtection="1">
      <alignment horizontal="center" vertical="center"/>
      <protection locked="0"/>
    </xf>
    <xf numFmtId="0" fontId="40" fillId="0" borderId="167" xfId="1028" applyFont="1" applyFill="1" applyBorder="1" applyAlignment="1" applyProtection="1">
      <alignment horizontal="center" vertical="center"/>
      <protection locked="0"/>
    </xf>
    <xf numFmtId="1" fontId="40" fillId="0" borderId="131" xfId="1031" applyNumberFormat="1" applyFont="1" applyFill="1" applyBorder="1" applyAlignment="1" applyProtection="1">
      <alignment horizontal="center" vertical="center"/>
      <protection locked="0"/>
    </xf>
    <xf numFmtId="3" fontId="40" fillId="0" borderId="168" xfId="1028" applyNumberFormat="1" applyFont="1" applyFill="1" applyBorder="1" applyAlignment="1" applyProtection="1">
      <alignment horizontal="center" vertical="center"/>
      <protection locked="0" hidden="1"/>
    </xf>
    <xf numFmtId="3" fontId="40" fillId="0" borderId="168" xfId="1031" applyNumberFormat="1" applyFont="1" applyFill="1" applyBorder="1" applyAlignment="1" applyProtection="1">
      <alignment horizontal="center" vertical="center"/>
      <protection locked="0" hidden="1"/>
    </xf>
    <xf numFmtId="3" fontId="40" fillId="0" borderId="129" xfId="1031" applyNumberFormat="1" applyFont="1" applyFill="1" applyBorder="1" applyAlignment="1" applyProtection="1">
      <alignment horizontal="center" vertical="center"/>
      <protection locked="0"/>
    </xf>
    <xf numFmtId="1" fontId="40" fillId="0" borderId="132" xfId="1031" applyNumberFormat="1" applyFont="1" applyFill="1" applyBorder="1" applyAlignment="1" applyProtection="1">
      <alignment horizontal="center" vertical="center"/>
      <protection locked="0"/>
    </xf>
    <xf numFmtId="0" fontId="21" fillId="0" borderId="59" xfId="1028" applyFont="1" applyFill="1" applyBorder="1" applyAlignment="1" applyProtection="1">
      <alignment horizontal="center" vertical="center"/>
      <protection locked="0"/>
    </xf>
    <xf numFmtId="3" fontId="40" fillId="0" borderId="168" xfId="1028" applyNumberFormat="1" applyFont="1" applyFill="1" applyBorder="1" applyAlignment="1" applyProtection="1">
      <alignment horizontal="center" vertical="center"/>
      <protection hidden="1"/>
    </xf>
    <xf numFmtId="0" fontId="49" fillId="0" borderId="0" xfId="0" applyFont="1" applyBorder="1"/>
    <xf numFmtId="3" fontId="40" fillId="0" borderId="129" xfId="1028" applyNumberFormat="1" applyFont="1" applyFill="1" applyBorder="1" applyAlignment="1" applyProtection="1">
      <alignment horizontal="center" vertical="center"/>
    </xf>
    <xf numFmtId="3" fontId="40" fillId="0" borderId="155" xfId="1028" applyNumberFormat="1" applyFont="1" applyFill="1" applyBorder="1" applyAlignment="1" applyProtection="1">
      <alignment horizontal="center" vertical="center"/>
    </xf>
    <xf numFmtId="3" fontId="40" fillId="0" borderId="126" xfId="1028" applyNumberFormat="1" applyFont="1" applyFill="1" applyBorder="1" applyAlignment="1" applyProtection="1">
      <alignment horizontal="center" vertical="center"/>
    </xf>
    <xf numFmtId="3" fontId="1" fillId="0" borderId="0" xfId="0" applyNumberFormat="1" applyFont="1" applyFill="1" applyProtection="1">
      <protection locked="0"/>
    </xf>
    <xf numFmtId="3" fontId="50" fillId="0" borderId="0" xfId="0" applyNumberFormat="1" applyFont="1" applyFill="1" applyProtection="1">
      <protection locked="0"/>
    </xf>
    <xf numFmtId="3" fontId="51" fillId="0" borderId="0" xfId="0" applyNumberFormat="1" applyFont="1" applyFill="1" applyAlignment="1" applyProtection="1">
      <alignment horizontal="center"/>
      <protection locked="0"/>
    </xf>
    <xf numFmtId="3" fontId="1" fillId="0" borderId="0" xfId="0" applyNumberFormat="1" applyFont="1" applyFill="1" applyAlignment="1" applyProtection="1">
      <alignment horizontal="center"/>
      <protection locked="0"/>
    </xf>
    <xf numFmtId="2" fontId="1" fillId="0" borderId="0" xfId="0" applyNumberFormat="1" applyFont="1" applyFill="1" applyProtection="1">
      <protection locked="0"/>
    </xf>
    <xf numFmtId="1" fontId="1" fillId="0" borderId="0" xfId="0" applyNumberFormat="1" applyFont="1" applyFill="1" applyProtection="1">
      <protection locked="0"/>
    </xf>
    <xf numFmtId="1" fontId="1" fillId="0" borderId="0" xfId="0" applyNumberFormat="1" applyFont="1" applyProtection="1">
      <protection locked="0"/>
    </xf>
    <xf numFmtId="168" fontId="1" fillId="0" borderId="0" xfId="0" applyNumberFormat="1" applyFont="1" applyFill="1" applyProtection="1">
      <protection locked="0"/>
    </xf>
    <xf numFmtId="175" fontId="1" fillId="0" borderId="0" xfId="0" applyNumberFormat="1" applyFont="1" applyFill="1" applyProtection="1">
      <protection locked="0"/>
    </xf>
    <xf numFmtId="1" fontId="52" fillId="0" borderId="0" xfId="0" applyNumberFormat="1" applyFont="1" applyFill="1" applyBorder="1" applyAlignment="1">
      <alignment horizontal="center" vertical="center"/>
    </xf>
    <xf numFmtId="3" fontId="53" fillId="0" borderId="0" xfId="0" applyNumberFormat="1" applyFont="1" applyFill="1" applyAlignment="1" applyProtection="1">
      <alignment horizontal="center"/>
      <protection locked="0"/>
    </xf>
    <xf numFmtId="0" fontId="1" fillId="0" borderId="0" xfId="0" applyFont="1" applyBorder="1" applyProtection="1">
      <protection locked="0"/>
    </xf>
    <xf numFmtId="3" fontId="40" fillId="0" borderId="0" xfId="1028" applyNumberFormat="1" applyFont="1" applyFill="1" applyBorder="1" applyAlignment="1" applyProtection="1">
      <alignment horizontal="center" vertical="center"/>
      <protection locked="0"/>
    </xf>
    <xf numFmtId="0" fontId="54" fillId="0" borderId="0" xfId="1027" applyFont="1" applyFill="1" applyAlignment="1">
      <alignment vertical="center" wrapText="1"/>
    </xf>
    <xf numFmtId="0" fontId="55" fillId="0" borderId="0" xfId="1027" applyFont="1" applyFill="1" applyAlignment="1">
      <alignment vertical="center" wrapText="1"/>
    </xf>
    <xf numFmtId="0" fontId="56" fillId="0" borderId="0" xfId="1027" applyFont="1" applyFill="1" applyAlignment="1">
      <alignment vertical="center" wrapText="1"/>
    </xf>
    <xf numFmtId="176" fontId="57" fillId="0" borderId="0" xfId="1041" applyNumberFormat="1" applyFont="1" applyFill="1" applyBorder="1" applyAlignment="1" applyProtection="1">
      <alignment vertical="center" wrapText="1"/>
    </xf>
    <xf numFmtId="0" fontId="55" fillId="0" borderId="0" xfId="1027" applyFont="1" applyFill="1" applyBorder="1" applyAlignment="1">
      <alignment vertical="center" wrapText="1"/>
    </xf>
    <xf numFmtId="176" fontId="59" fillId="0" borderId="0" xfId="1041" applyNumberFormat="1" applyFont="1" applyFill="1" applyBorder="1" applyAlignment="1" applyProtection="1">
      <alignment vertical="center" wrapText="1"/>
    </xf>
    <xf numFmtId="0" fontId="60" fillId="0" borderId="0" xfId="1027" applyFont="1" applyFill="1" applyBorder="1" applyAlignment="1">
      <alignment horizontal="center" vertical="center" wrapText="1"/>
    </xf>
    <xf numFmtId="0" fontId="61" fillId="0" borderId="0" xfId="1027" applyFont="1" applyFill="1" applyBorder="1" applyAlignment="1">
      <alignment horizontal="center" vertical="center" wrapText="1"/>
    </xf>
    <xf numFmtId="0" fontId="62" fillId="0" borderId="0" xfId="1027" applyFont="1" applyFill="1" applyBorder="1" applyAlignment="1">
      <alignment horizontal="center" vertical="center" wrapText="1"/>
    </xf>
    <xf numFmtId="0" fontId="63" fillId="27" borderId="11" xfId="1030" applyNumberFormat="1" applyFont="1" applyFill="1" applyBorder="1" applyAlignment="1" applyProtection="1">
      <alignment horizontal="center" vertical="center"/>
      <protection locked="0"/>
    </xf>
    <xf numFmtId="167" fontId="64" fillId="27" borderId="11" xfId="1030" applyNumberFormat="1" applyFont="1" applyFill="1" applyBorder="1" applyAlignment="1" applyProtection="1">
      <alignment horizontal="center" vertical="center"/>
      <protection locked="0"/>
    </xf>
    <xf numFmtId="16" fontId="65" fillId="27" borderId="11" xfId="1030" applyNumberFormat="1" applyFont="1" applyFill="1" applyBorder="1" applyAlignment="1" applyProtection="1">
      <alignment horizontal="center" vertical="center"/>
    </xf>
    <xf numFmtId="3" fontId="55" fillId="0" borderId="0" xfId="1027" applyNumberFormat="1" applyFont="1" applyFill="1" applyBorder="1" applyAlignment="1">
      <alignment vertical="center" wrapText="1"/>
    </xf>
    <xf numFmtId="1" fontId="3" fillId="0" borderId="11" xfId="1030" applyNumberFormat="1" applyFont="1" applyFill="1" applyBorder="1" applyAlignment="1" applyProtection="1">
      <alignment horizontal="center" vertical="center"/>
      <protection locked="0"/>
    </xf>
    <xf numFmtId="1" fontId="67" fillId="0" borderId="11" xfId="1030" applyNumberFormat="1" applyFont="1" applyFill="1" applyBorder="1" applyAlignment="1" applyProtection="1">
      <alignment horizontal="center" vertical="center"/>
    </xf>
    <xf numFmtId="1" fontId="65" fillId="0" borderId="11" xfId="1030" applyNumberFormat="1" applyFont="1" applyFill="1" applyBorder="1" applyAlignment="1" applyProtection="1">
      <alignment horizontal="center" vertical="center"/>
    </xf>
    <xf numFmtId="0" fontId="65" fillId="27" borderId="11" xfId="1030" applyFont="1" applyFill="1" applyBorder="1" applyAlignment="1" applyProtection="1">
      <alignment horizontal="center" vertical="center" wrapText="1"/>
    </xf>
    <xf numFmtId="0" fontId="56" fillId="0" borderId="33" xfId="1027" applyNumberFormat="1" applyFont="1" applyFill="1" applyBorder="1" applyAlignment="1">
      <alignment horizontal="center" vertical="center" wrapText="1"/>
    </xf>
    <xf numFmtId="1" fontId="65" fillId="27" borderId="11" xfId="1030" applyNumberFormat="1" applyFont="1" applyFill="1" applyBorder="1" applyAlignment="1" applyProtection="1">
      <alignment horizontal="center" vertical="center" wrapText="1"/>
    </xf>
    <xf numFmtId="176" fontId="68" fillId="0" borderId="0" xfId="1041" applyNumberFormat="1" applyFont="1" applyFill="1" applyBorder="1" applyAlignment="1" applyProtection="1">
      <alignment vertical="center" wrapText="1"/>
    </xf>
    <xf numFmtId="1" fontId="56" fillId="0" borderId="44" xfId="1027" applyNumberFormat="1" applyFont="1" applyFill="1" applyBorder="1" applyAlignment="1">
      <alignment horizontal="center" vertical="center" wrapText="1"/>
    </xf>
    <xf numFmtId="3" fontId="65" fillId="27" borderId="11" xfId="1030" applyNumberFormat="1" applyFont="1" applyFill="1" applyBorder="1" applyAlignment="1" applyProtection="1">
      <alignment horizontal="center" vertical="center" wrapText="1"/>
    </xf>
    <xf numFmtId="3" fontId="55" fillId="0" borderId="0" xfId="1027" applyNumberFormat="1" applyFont="1" applyFill="1" applyBorder="1" applyAlignment="1">
      <alignment horizontal="center" vertical="center" wrapText="1"/>
    </xf>
    <xf numFmtId="176" fontId="68" fillId="0" borderId="0" xfId="1041" applyNumberFormat="1" applyFont="1" applyFill="1" applyBorder="1" applyAlignment="1" applyProtection="1">
      <alignment horizontal="center" vertical="center" wrapText="1"/>
    </xf>
    <xf numFmtId="176" fontId="57" fillId="0" borderId="0" xfId="1041" applyNumberFormat="1" applyFont="1" applyFill="1" applyBorder="1" applyAlignment="1" applyProtection="1">
      <alignment horizontal="center" vertical="center" wrapText="1"/>
    </xf>
    <xf numFmtId="49" fontId="55" fillId="0" borderId="0" xfId="1027" applyNumberFormat="1" applyFont="1" applyFill="1" applyBorder="1" applyAlignment="1">
      <alignment horizontal="center" vertical="center" wrapText="1"/>
    </xf>
    <xf numFmtId="49" fontId="55" fillId="0" borderId="0" xfId="1027" applyNumberFormat="1" applyFont="1" applyFill="1" applyBorder="1" applyAlignment="1">
      <alignment vertical="center" wrapText="1"/>
    </xf>
    <xf numFmtId="3" fontId="69" fillId="0" borderId="0" xfId="1027" applyNumberFormat="1" applyFont="1" applyFill="1" applyBorder="1" applyAlignment="1">
      <alignment vertical="center" wrapText="1"/>
    </xf>
    <xf numFmtId="0" fontId="65" fillId="27" borderId="10" xfId="1030" applyFont="1" applyFill="1" applyBorder="1" applyAlignment="1" applyProtection="1">
      <alignment horizontal="center" vertical="center" wrapText="1"/>
    </xf>
    <xf numFmtId="0" fontId="65" fillId="27" borderId="14" xfId="1030" applyFont="1" applyFill="1" applyBorder="1" applyAlignment="1" applyProtection="1">
      <alignment horizontal="center" vertical="center" wrapText="1"/>
    </xf>
    <xf numFmtId="1" fontId="56" fillId="0" borderId="33" xfId="1027" applyNumberFormat="1" applyFont="1" applyFill="1" applyBorder="1" applyAlignment="1">
      <alignment horizontal="center" vertical="center" wrapText="1"/>
    </xf>
    <xf numFmtId="0" fontId="65" fillId="29" borderId="11" xfId="1030" applyFont="1" applyFill="1" applyBorder="1" applyAlignment="1" applyProtection="1">
      <alignment horizontal="center" vertical="center"/>
    </xf>
    <xf numFmtId="1" fontId="3" fillId="29" borderId="11" xfId="1030" applyNumberFormat="1" applyFont="1" applyFill="1" applyBorder="1" applyAlignment="1" applyProtection="1">
      <alignment horizontal="center" vertical="center" wrapText="1"/>
      <protection locked="0"/>
    </xf>
    <xf numFmtId="1" fontId="65" fillId="29" borderId="11" xfId="1030" applyNumberFormat="1" applyFont="1" applyFill="1" applyBorder="1" applyAlignment="1" applyProtection="1">
      <alignment horizontal="center" vertical="center" wrapText="1"/>
    </xf>
    <xf numFmtId="0" fontId="65" fillId="25" borderId="11" xfId="1030" applyFont="1" applyFill="1" applyBorder="1" applyAlignment="1" applyProtection="1">
      <alignment horizontal="center" vertical="center"/>
    </xf>
    <xf numFmtId="1" fontId="3" fillId="25" borderId="11" xfId="1030" applyNumberFormat="1" applyFont="1" applyFill="1" applyBorder="1" applyAlignment="1" applyProtection="1">
      <alignment horizontal="center" vertical="center" wrapText="1"/>
      <protection locked="0"/>
    </xf>
    <xf numFmtId="1" fontId="65" fillId="25" borderId="11" xfId="1030" applyNumberFormat="1" applyFont="1" applyFill="1" applyBorder="1" applyAlignment="1" applyProtection="1">
      <alignment horizontal="center" vertical="center" wrapText="1"/>
    </xf>
    <xf numFmtId="0" fontId="65" fillId="24" borderId="47" xfId="1030" applyFont="1" applyFill="1" applyBorder="1" applyAlignment="1" applyProtection="1">
      <alignment horizontal="center" vertical="center"/>
    </xf>
    <xf numFmtId="0" fontId="65" fillId="24" borderId="17" xfId="1030" applyFont="1" applyFill="1" applyBorder="1" applyAlignment="1" applyProtection="1">
      <alignment horizontal="center" vertical="center"/>
    </xf>
    <xf numFmtId="0" fontId="65" fillId="24" borderId="15" xfId="1030" applyFont="1" applyFill="1" applyBorder="1" applyAlignment="1" applyProtection="1">
      <alignment horizontal="center" vertical="center"/>
    </xf>
    <xf numFmtId="1" fontId="3" fillId="0" borderId="11" xfId="1030" applyNumberFormat="1" applyFont="1" applyFill="1" applyBorder="1" applyAlignment="1" applyProtection="1">
      <alignment horizontal="center" vertical="center" wrapText="1"/>
      <protection locked="0"/>
    </xf>
    <xf numFmtId="1" fontId="3" fillId="0" borderId="33" xfId="1030" applyNumberFormat="1" applyFont="1" applyFill="1" applyBorder="1" applyAlignment="1" applyProtection="1">
      <alignment horizontal="center" vertical="center" wrapText="1"/>
      <protection locked="0"/>
    </xf>
    <xf numFmtId="1" fontId="3" fillId="0" borderId="44" xfId="1030" applyNumberFormat="1" applyFont="1" applyFill="1" applyBorder="1" applyAlignment="1" applyProtection="1">
      <alignment horizontal="center" vertical="center" wrapText="1"/>
      <protection locked="0"/>
    </xf>
    <xf numFmtId="1" fontId="3" fillId="0" borderId="14" xfId="1030" applyNumberFormat="1" applyFont="1" applyFill="1" applyBorder="1" applyAlignment="1" applyProtection="1">
      <alignment horizontal="center" vertical="center" wrapText="1"/>
      <protection locked="0"/>
    </xf>
    <xf numFmtId="0" fontId="56" fillId="0" borderId="11" xfId="1027" applyFont="1" applyBorder="1" applyAlignment="1">
      <alignment vertical="center" wrapText="1"/>
    </xf>
    <xf numFmtId="0" fontId="65" fillId="27" borderId="11" xfId="1030" applyFont="1" applyFill="1" applyBorder="1" applyAlignment="1" applyProtection="1">
      <alignment horizontal="center" vertical="center"/>
    </xf>
    <xf numFmtId="1" fontId="3" fillId="27" borderId="11" xfId="1030" applyNumberFormat="1" applyFont="1" applyFill="1" applyBorder="1" applyAlignment="1" applyProtection="1">
      <alignment horizontal="center" vertical="center" wrapText="1"/>
      <protection locked="0"/>
    </xf>
    <xf numFmtId="0" fontId="65" fillId="29" borderId="10" xfId="1030" applyFont="1" applyFill="1" applyBorder="1" applyAlignment="1" applyProtection="1">
      <alignment horizontal="center" vertical="center"/>
    </xf>
    <xf numFmtId="1" fontId="3" fillId="29" borderId="10" xfId="1030" applyNumberFormat="1" applyFont="1" applyFill="1" applyBorder="1" applyAlignment="1" applyProtection="1">
      <alignment horizontal="center" vertical="center" wrapText="1"/>
      <protection locked="0"/>
    </xf>
    <xf numFmtId="3" fontId="55" fillId="0" borderId="0" xfId="1027" applyNumberFormat="1" applyFont="1" applyFill="1" applyAlignment="1">
      <alignment vertical="center" wrapText="1"/>
    </xf>
    <xf numFmtId="1" fontId="70" fillId="27" borderId="11" xfId="1027" applyNumberFormat="1" applyFont="1" applyFill="1" applyBorder="1" applyAlignment="1">
      <alignment horizontal="center" vertical="center" wrapText="1"/>
    </xf>
    <xf numFmtId="0" fontId="71" fillId="0" borderId="169" xfId="1027" applyFont="1" applyFill="1" applyBorder="1" applyAlignment="1">
      <alignment horizontal="center" vertical="center" wrapText="1"/>
    </xf>
    <xf numFmtId="0" fontId="71" fillId="0" borderId="142" xfId="1027" applyFont="1" applyFill="1" applyBorder="1" applyAlignment="1">
      <alignment horizontal="center" vertical="center" wrapText="1"/>
    </xf>
    <xf numFmtId="1" fontId="66" fillId="24" borderId="142" xfId="1030" applyNumberFormat="1" applyFont="1" applyFill="1" applyBorder="1" applyAlignment="1" applyProtection="1">
      <alignment horizontal="center" vertical="center" wrapText="1"/>
      <protection locked="0"/>
    </xf>
    <xf numFmtId="1" fontId="66" fillId="24" borderId="170" xfId="1030" applyNumberFormat="1" applyFont="1" applyFill="1" applyBorder="1" applyAlignment="1" applyProtection="1">
      <alignment horizontal="center" vertical="center" wrapText="1"/>
    </xf>
    <xf numFmtId="0" fontId="65" fillId="25" borderId="171" xfId="1030" applyFont="1" applyFill="1" applyBorder="1" applyAlignment="1" applyProtection="1">
      <alignment horizontal="center" vertical="center"/>
    </xf>
    <xf numFmtId="0" fontId="72" fillId="25" borderId="163" xfId="1027" applyFont="1" applyFill="1" applyBorder="1" applyAlignment="1">
      <alignment horizontal="center" vertical="center" wrapText="1"/>
    </xf>
    <xf numFmtId="1" fontId="3" fillId="25" borderId="163" xfId="1030" applyNumberFormat="1" applyFont="1" applyFill="1" applyBorder="1" applyAlignment="1" applyProtection="1">
      <alignment horizontal="center" vertical="center" wrapText="1"/>
      <protection locked="0"/>
    </xf>
    <xf numFmtId="3" fontId="65" fillId="25" borderId="172" xfId="1030" applyNumberFormat="1" applyFont="1" applyFill="1" applyBorder="1" applyAlignment="1" applyProtection="1">
      <alignment horizontal="center" vertical="center" wrapText="1"/>
    </xf>
    <xf numFmtId="0" fontId="65" fillId="25" borderId="41" xfId="1030" applyFont="1" applyFill="1" applyBorder="1" applyAlignment="1" applyProtection="1">
      <alignment horizontal="center" vertical="center"/>
    </xf>
    <xf numFmtId="0" fontId="72" fillId="25" borderId="11" xfId="1027" applyFont="1" applyFill="1" applyBorder="1" applyAlignment="1">
      <alignment horizontal="center" vertical="center" wrapText="1"/>
    </xf>
    <xf numFmtId="3" fontId="65" fillId="25" borderId="16" xfId="1030" applyNumberFormat="1" applyFont="1" applyFill="1" applyBorder="1" applyAlignment="1" applyProtection="1">
      <alignment horizontal="center" vertical="center" wrapText="1"/>
    </xf>
    <xf numFmtId="170" fontId="57" fillId="0" borderId="0" xfId="1041" applyNumberFormat="1" applyFont="1" applyFill="1" applyBorder="1" applyAlignment="1" applyProtection="1">
      <alignment vertical="center" wrapText="1"/>
    </xf>
    <xf numFmtId="177" fontId="57" fillId="0" borderId="0" xfId="1041" applyNumberFormat="1" applyFont="1" applyFill="1" applyBorder="1" applyAlignment="1" applyProtection="1">
      <alignment vertical="center" wrapText="1"/>
    </xf>
    <xf numFmtId="0" fontId="74" fillId="25" borderId="41" xfId="1027" applyFont="1" applyFill="1" applyBorder="1" applyAlignment="1">
      <alignment horizontal="center" vertical="center" wrapText="1"/>
    </xf>
    <xf numFmtId="1" fontId="56" fillId="25" borderId="11" xfId="1027" applyNumberFormat="1" applyFont="1" applyFill="1" applyBorder="1" applyAlignment="1">
      <alignment horizontal="center" vertical="center" wrapText="1"/>
    </xf>
    <xf numFmtId="3" fontId="56" fillId="25" borderId="16" xfId="1027" applyNumberFormat="1" applyFont="1" applyFill="1" applyBorder="1" applyAlignment="1">
      <alignment horizontal="center" vertical="center" wrapText="1"/>
    </xf>
    <xf numFmtId="0" fontId="74" fillId="0" borderId="131" xfId="1027" applyFont="1" applyBorder="1" applyAlignment="1">
      <alignment horizontal="center" vertical="center" wrapText="1"/>
    </xf>
    <xf numFmtId="3" fontId="74" fillId="0" borderId="80" xfId="1027" applyNumberFormat="1" applyFont="1" applyFill="1" applyBorder="1" applyAlignment="1">
      <alignment horizontal="center" vertical="center" wrapText="1"/>
    </xf>
    <xf numFmtId="1" fontId="56" fillId="0" borderId="129" xfId="1027" applyNumberFormat="1" applyFont="1" applyBorder="1" applyAlignment="1">
      <alignment horizontal="center" vertical="center" wrapText="1"/>
    </xf>
    <xf numFmtId="0" fontId="56" fillId="0" borderId="132" xfId="1027" applyFont="1" applyBorder="1" applyAlignment="1">
      <alignment vertical="center" wrapText="1"/>
    </xf>
    <xf numFmtId="178" fontId="57" fillId="0" borderId="0" xfId="1041" applyNumberFormat="1" applyFont="1" applyFill="1" applyBorder="1" applyAlignment="1" applyProtection="1">
      <alignment vertical="center" wrapText="1"/>
    </xf>
    <xf numFmtId="0" fontId="74" fillId="0" borderId="0" xfId="1027" applyFont="1" applyFill="1" applyAlignment="1">
      <alignment horizontal="center" vertical="center" wrapText="1"/>
    </xf>
    <xf numFmtId="1" fontId="56" fillId="0" borderId="0" xfId="1027" applyNumberFormat="1" applyFont="1" applyFill="1" applyAlignment="1">
      <alignment horizontal="center" vertical="center" wrapText="1"/>
    </xf>
    <xf numFmtId="1" fontId="3" fillId="0" borderId="0" xfId="1030" applyNumberFormat="1" applyFont="1" applyFill="1" applyBorder="1" applyAlignment="1" applyProtection="1">
      <alignment horizontal="center" vertical="center" wrapText="1"/>
      <protection locked="0"/>
    </xf>
    <xf numFmtId="1" fontId="73" fillId="0" borderId="0" xfId="1027" applyNumberFormat="1" applyFont="1" applyFill="1" applyAlignment="1">
      <alignment horizontal="center" vertical="center" wrapText="1"/>
    </xf>
    <xf numFmtId="0" fontId="73" fillId="30" borderId="11" xfId="1027" applyFont="1" applyFill="1" applyBorder="1" applyAlignment="1">
      <alignment horizontal="center" vertical="center" wrapText="1"/>
    </xf>
    <xf numFmtId="168" fontId="56" fillId="0" borderId="0" xfId="1027" applyNumberFormat="1" applyFont="1" applyFill="1" applyAlignment="1">
      <alignment vertical="center" wrapText="1"/>
    </xf>
    <xf numFmtId="173" fontId="56" fillId="0" borderId="0" xfId="1027" applyNumberFormat="1" applyFont="1" applyFill="1" applyAlignment="1">
      <alignment vertical="center" wrapText="1"/>
    </xf>
    <xf numFmtId="0" fontId="73" fillId="0" borderId="0" xfId="1027" applyFont="1" applyFill="1" applyAlignment="1">
      <alignment horizontal="center" vertical="center" wrapText="1"/>
    </xf>
    <xf numFmtId="176" fontId="73" fillId="0" borderId="0" xfId="1041" applyNumberFormat="1" applyFont="1" applyFill="1" applyBorder="1" applyAlignment="1" applyProtection="1">
      <alignment vertical="center" wrapText="1"/>
    </xf>
    <xf numFmtId="0" fontId="65" fillId="0" borderId="0" xfId="1030" applyFont="1" applyFill="1" applyBorder="1" applyAlignment="1" applyProtection="1">
      <alignment horizontal="center" vertical="center" wrapText="1"/>
    </xf>
    <xf numFmtId="0" fontId="74" fillId="0" borderId="0" xfId="1027" applyFont="1" applyFill="1" applyAlignment="1">
      <alignment horizontal="justify" vertical="center" wrapText="1"/>
    </xf>
    <xf numFmtId="0" fontId="77" fillId="0" borderId="0" xfId="1027" applyFont="1" applyAlignment="1">
      <alignment vertical="center" wrapText="1"/>
    </xf>
    <xf numFmtId="1" fontId="77" fillId="0" borderId="0" xfId="1027" applyNumberFormat="1" applyFont="1" applyAlignment="1">
      <alignment horizontal="center" vertical="center" wrapText="1"/>
    </xf>
    <xf numFmtId="0" fontId="56" fillId="0" borderId="0" xfId="1027" applyFont="1" applyAlignment="1">
      <alignment vertical="center" wrapText="1"/>
    </xf>
    <xf numFmtId="0" fontId="56" fillId="0" borderId="11" xfId="1027" applyFont="1" applyFill="1" applyBorder="1" applyAlignment="1">
      <alignment vertical="center" wrapText="1"/>
    </xf>
    <xf numFmtId="0" fontId="78" fillId="25" borderId="11" xfId="1030" applyFont="1" applyFill="1" applyBorder="1" applyAlignment="1" applyProtection="1">
      <alignment horizontal="center" vertical="center"/>
    </xf>
    <xf numFmtId="1" fontId="56" fillId="0" borderId="11" xfId="1027" applyNumberFormat="1" applyFont="1" applyFill="1" applyBorder="1" applyAlignment="1">
      <alignment horizontal="center" vertical="center" wrapText="1"/>
    </xf>
    <xf numFmtId="1" fontId="79" fillId="0" borderId="11" xfId="1027" applyNumberFormat="1" applyFont="1" applyBorder="1" applyAlignment="1">
      <alignment horizontal="center" vertical="center" wrapText="1"/>
    </xf>
    <xf numFmtId="1" fontId="79" fillId="0" borderId="11" xfId="1027" applyNumberFormat="1" applyFont="1" applyFill="1" applyBorder="1" applyAlignment="1">
      <alignment horizontal="center" vertical="center" wrapText="1"/>
    </xf>
    <xf numFmtId="0" fontId="68" fillId="0" borderId="0" xfId="1027" applyFont="1" applyAlignment="1">
      <alignment vertical="center" wrapText="1"/>
    </xf>
    <xf numFmtId="0" fontId="73" fillId="0" borderId="0" xfId="1027" applyFont="1" applyAlignment="1">
      <alignment vertical="center" wrapText="1"/>
    </xf>
    <xf numFmtId="1" fontId="56" fillId="0" borderId="33" xfId="1027" applyNumberFormat="1" applyFont="1" applyBorder="1" applyAlignment="1">
      <alignment vertical="center" wrapText="1"/>
    </xf>
    <xf numFmtId="1" fontId="56" fillId="0" borderId="0" xfId="1027" applyNumberFormat="1" applyFont="1" applyFill="1" applyAlignment="1">
      <alignment vertical="center" wrapText="1"/>
    </xf>
    <xf numFmtId="1" fontId="56" fillId="0" borderId="44" xfId="1027" applyNumberFormat="1" applyFont="1" applyBorder="1" applyAlignment="1">
      <alignment vertical="center" wrapText="1"/>
    </xf>
    <xf numFmtId="0" fontId="56" fillId="0" borderId="17" xfId="1027" applyFont="1" applyBorder="1" applyAlignment="1">
      <alignment vertical="center" wrapText="1"/>
    </xf>
    <xf numFmtId="1" fontId="56" fillId="0" borderId="17" xfId="1027" applyNumberFormat="1" applyFont="1" applyBorder="1" applyAlignment="1">
      <alignment vertical="center" wrapText="1"/>
    </xf>
    <xf numFmtId="1" fontId="56" fillId="0" borderId="0" xfId="1027" applyNumberFormat="1" applyFont="1" applyAlignment="1">
      <alignment vertical="center" wrapText="1"/>
    </xf>
    <xf numFmtId="1" fontId="56" fillId="0" borderId="11" xfId="1027" applyNumberFormat="1" applyFont="1" applyBorder="1" applyAlignment="1">
      <alignment vertical="center" wrapText="1"/>
    </xf>
    <xf numFmtId="0" fontId="56" fillId="0" borderId="0" xfId="1027" applyFont="1" applyBorder="1" applyAlignment="1">
      <alignment vertical="center" wrapText="1"/>
    </xf>
    <xf numFmtId="1" fontId="56" fillId="0" borderId="0" xfId="1027" applyNumberFormat="1" applyFont="1" applyBorder="1" applyAlignment="1">
      <alignment vertical="center" wrapText="1"/>
    </xf>
    <xf numFmtId="1" fontId="80" fillId="0" borderId="0" xfId="1027" applyNumberFormat="1" applyFont="1" applyAlignment="1">
      <alignment horizontal="center" vertical="center" wrapText="1"/>
    </xf>
    <xf numFmtId="0" fontId="56" fillId="0" borderId="11" xfId="1027" applyFont="1" applyBorder="1" applyAlignment="1">
      <alignment horizontal="center" vertical="center" wrapText="1"/>
    </xf>
    <xf numFmtId="168" fontId="56" fillId="0" borderId="11" xfId="1027" applyNumberFormat="1" applyFont="1" applyFill="1" applyBorder="1" applyAlignment="1">
      <alignment horizontal="center" vertical="center" wrapText="1"/>
    </xf>
    <xf numFmtId="0" fontId="56" fillId="0" borderId="0" xfId="1027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0" xfId="1026" applyFont="1" applyFill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79" xfId="0" applyFont="1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 wrapText="1"/>
    </xf>
    <xf numFmtId="0" fontId="1" fillId="0" borderId="80" xfId="0" applyFont="1" applyFill="1" applyBorder="1" applyAlignment="1">
      <alignment horizontal="center" vertical="center" wrapText="1"/>
    </xf>
    <xf numFmtId="0" fontId="1" fillId="0" borderId="82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/>
    </xf>
    <xf numFmtId="9" fontId="1" fillId="0" borderId="0" xfId="1035" applyFont="1" applyFill="1" applyBorder="1" applyAlignment="1" applyProtection="1">
      <alignment horizontal="center" vertical="center" wrapText="1"/>
    </xf>
    <xf numFmtId="1" fontId="1" fillId="0" borderId="0" xfId="1035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" fontId="14" fillId="0" borderId="24" xfId="1025" applyNumberFormat="1" applyFont="1" applyFill="1" applyBorder="1" applyAlignment="1">
      <alignment horizontal="center" vertical="center"/>
    </xf>
    <xf numFmtId="1" fontId="14" fillId="0" borderId="26" xfId="1026" applyNumberFormat="1" applyFont="1" applyFill="1" applyBorder="1" applyAlignment="1">
      <alignment horizontal="center" vertical="center"/>
    </xf>
    <xf numFmtId="1" fontId="27" fillId="0" borderId="57" xfId="1040" applyNumberFormat="1" applyFont="1" applyFill="1" applyBorder="1" applyAlignment="1" applyProtection="1">
      <alignment horizontal="left" vertical="center" wrapText="1"/>
    </xf>
    <xf numFmtId="1" fontId="14" fillId="0" borderId="29" xfId="1026" applyNumberFormat="1" applyFont="1" applyFill="1" applyBorder="1" applyAlignment="1">
      <alignment horizontal="center" vertical="center"/>
    </xf>
    <xf numFmtId="49" fontId="14" fillId="0" borderId="37" xfId="1026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 wrapText="1"/>
    </xf>
    <xf numFmtId="175" fontId="1" fillId="0" borderId="0" xfId="1035" applyNumberFormat="1" applyFont="1" applyFill="1" applyBorder="1" applyAlignment="1" applyProtection="1">
      <alignment horizontal="center" vertical="center" wrapText="1"/>
    </xf>
    <xf numFmtId="166" fontId="28" fillId="0" borderId="28" xfId="1040" applyNumberFormat="1" applyFont="1" applyFill="1" applyBorder="1" applyAlignment="1" applyProtection="1">
      <alignment horizontal="center" vertical="center"/>
    </xf>
    <xf numFmtId="166" fontId="28" fillId="0" borderId="25" xfId="1040" applyNumberFormat="1" applyFont="1" applyFill="1" applyBorder="1" applyAlignment="1" applyProtection="1">
      <alignment horizontal="center" vertical="center"/>
    </xf>
    <xf numFmtId="1" fontId="28" fillId="0" borderId="28" xfId="1040" applyNumberFormat="1" applyFont="1" applyFill="1" applyBorder="1" applyAlignment="1" applyProtection="1">
      <alignment horizontal="center" vertical="center"/>
    </xf>
    <xf numFmtId="168" fontId="28" fillId="0" borderId="25" xfId="1040" applyNumberFormat="1" applyFont="1" applyFill="1" applyBorder="1" applyAlignment="1" applyProtection="1">
      <alignment horizontal="center" vertical="center"/>
    </xf>
    <xf numFmtId="0" fontId="14" fillId="0" borderId="24" xfId="1025" applyFont="1" applyFill="1" applyBorder="1" applyAlignment="1">
      <alignment horizontal="center" vertical="center"/>
    </xf>
    <xf numFmtId="1" fontId="35" fillId="0" borderId="24" xfId="1026" applyNumberFormat="1" applyFont="1" applyFill="1" applyBorder="1" applyAlignment="1">
      <alignment horizontal="center" vertical="center" wrapText="1"/>
    </xf>
    <xf numFmtId="1" fontId="28" fillId="0" borderId="30" xfId="1040" applyNumberFormat="1" applyFont="1" applyFill="1" applyBorder="1" applyAlignment="1" applyProtection="1">
      <alignment horizontal="center" vertical="center" wrapText="1"/>
    </xf>
    <xf numFmtId="1" fontId="27" fillId="0" borderId="30" xfId="1040" applyNumberFormat="1" applyFont="1" applyFill="1" applyBorder="1" applyAlignment="1" applyProtection="1">
      <alignment horizontal="left" vertical="center" wrapText="1"/>
    </xf>
    <xf numFmtId="1" fontId="28" fillId="0" borderId="44" xfId="1026" applyNumberFormat="1" applyFont="1" applyFill="1" applyBorder="1" applyAlignment="1">
      <alignment horizontal="center" vertical="center"/>
    </xf>
    <xf numFmtId="1" fontId="14" fillId="0" borderId="134" xfId="1026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133" xfId="0" applyNumberFormat="1" applyFont="1" applyFill="1" applyBorder="1" applyAlignment="1">
      <alignment horizontal="center" vertical="center"/>
    </xf>
    <xf numFmtId="1" fontId="14" fillId="0" borderId="0" xfId="1026" applyNumberFormat="1" applyFont="1" applyFill="1" applyBorder="1" applyAlignment="1">
      <alignment horizontal="center" vertical="center"/>
    </xf>
    <xf numFmtId="1" fontId="14" fillId="0" borderId="108" xfId="1026" applyNumberFormat="1" applyFont="1" applyFill="1" applyBorder="1" applyAlignment="1">
      <alignment horizontal="center" vertical="center" wrapText="1"/>
    </xf>
    <xf numFmtId="168" fontId="26" fillId="0" borderId="108" xfId="1026" applyNumberFormat="1" applyFont="1" applyFill="1" applyBorder="1" applyAlignment="1">
      <alignment horizontal="center" vertical="center" wrapText="1"/>
    </xf>
    <xf numFmtId="166" fontId="28" fillId="0" borderId="0" xfId="1040" applyNumberFormat="1" applyFont="1" applyFill="1" applyBorder="1" applyAlignment="1" applyProtection="1">
      <alignment horizontal="center" vertical="center"/>
    </xf>
    <xf numFmtId="166" fontId="28" fillId="0" borderId="108" xfId="1040" applyNumberFormat="1" applyFont="1" applyFill="1" applyBorder="1" applyAlignment="1" applyProtection="1">
      <alignment horizontal="center" vertical="center"/>
    </xf>
    <xf numFmtId="1" fontId="28" fillId="0" borderId="111" xfId="1040" applyNumberFormat="1" applyFont="1" applyFill="1" applyBorder="1" applyAlignment="1" applyProtection="1">
      <alignment horizontal="center" vertical="center"/>
    </xf>
    <xf numFmtId="168" fontId="28" fillId="0" borderId="108" xfId="1040" applyNumberFormat="1" applyFont="1" applyFill="1" applyBorder="1" applyAlignment="1" applyProtection="1">
      <alignment horizontal="center" vertical="center"/>
    </xf>
    <xf numFmtId="0" fontId="14" fillId="0" borderId="108" xfId="1025" applyFont="1" applyFill="1" applyBorder="1" applyAlignment="1">
      <alignment horizontal="center" vertical="center"/>
    </xf>
    <xf numFmtId="1" fontId="35" fillId="0" borderId="108" xfId="1026" applyNumberFormat="1" applyFont="1" applyFill="1" applyBorder="1" applyAlignment="1">
      <alignment horizontal="center" vertical="center" wrapText="1"/>
    </xf>
    <xf numFmtId="168" fontId="14" fillId="0" borderId="0" xfId="1040" applyNumberFormat="1" applyFont="1" applyFill="1" applyBorder="1" applyAlignment="1" applyProtection="1">
      <alignment horizontal="center" vertical="center"/>
    </xf>
    <xf numFmtId="0" fontId="14" fillId="0" borderId="0" xfId="1026" applyFont="1" applyFill="1" applyBorder="1" applyAlignment="1">
      <alignment horizontal="center" vertical="center" wrapText="1"/>
    </xf>
    <xf numFmtId="1" fontId="28" fillId="0" borderId="0" xfId="1040" applyNumberFormat="1" applyFont="1" applyFill="1" applyBorder="1" applyAlignment="1" applyProtection="1">
      <alignment horizontal="center" vertical="center" wrapText="1"/>
    </xf>
    <xf numFmtId="9" fontId="14" fillId="0" borderId="0" xfId="0" applyNumberFormat="1" applyFont="1" applyFill="1" applyBorder="1" applyAlignment="1">
      <alignment horizontal="center" vertical="center" wrapText="1"/>
    </xf>
    <xf numFmtId="1" fontId="27" fillId="0" borderId="13" xfId="1040" applyNumberFormat="1" applyFont="1" applyFill="1" applyBorder="1" applyAlignment="1" applyProtection="1">
      <alignment horizontal="left" vertical="center" wrapText="1"/>
    </xf>
    <xf numFmtId="1" fontId="14" fillId="0" borderId="55" xfId="1040" applyNumberFormat="1" applyFont="1" applyFill="1" applyBorder="1" applyAlignment="1" applyProtection="1">
      <alignment horizontal="center" vertical="center" wrapText="1"/>
    </xf>
    <xf numFmtId="0" fontId="30" fillId="0" borderId="14" xfId="0" applyFont="1" applyFill="1" applyBorder="1" applyAlignment="1">
      <alignment horizontal="left" vertical="center" wrapText="1"/>
    </xf>
    <xf numFmtId="1" fontId="28" fillId="0" borderId="14" xfId="1026" applyNumberFormat="1" applyFont="1" applyFill="1" applyBorder="1" applyAlignment="1">
      <alignment horizontal="center" vertical="center"/>
    </xf>
    <xf numFmtId="1" fontId="14" fillId="0" borderId="38" xfId="1026" applyNumberFormat="1" applyFont="1" applyFill="1" applyBorder="1" applyAlignment="1">
      <alignment horizontal="center" vertical="center"/>
    </xf>
    <xf numFmtId="166" fontId="14" fillId="0" borderId="52" xfId="1040" applyNumberFormat="1" applyFont="1" applyFill="1" applyBorder="1" applyAlignment="1" applyProtection="1">
      <alignment horizontal="center" vertical="center"/>
    </xf>
    <xf numFmtId="1" fontId="28" fillId="26" borderId="65" xfId="1026" applyNumberFormat="1" applyFont="1" applyFill="1" applyBorder="1" applyAlignment="1">
      <alignment horizontal="center" vertical="center"/>
    </xf>
    <xf numFmtId="1" fontId="28" fillId="26" borderId="49" xfId="1026" applyNumberFormat="1" applyFont="1" applyFill="1" applyBorder="1" applyAlignment="1">
      <alignment horizontal="center" vertical="center"/>
    </xf>
    <xf numFmtId="1" fontId="28" fillId="26" borderId="50" xfId="1026" applyNumberFormat="1" applyFont="1" applyFill="1" applyBorder="1" applyAlignment="1">
      <alignment horizontal="center" vertical="center"/>
    </xf>
    <xf numFmtId="1" fontId="14" fillId="25" borderId="10" xfId="1035" applyNumberFormat="1" applyFont="1" applyFill="1" applyBorder="1" applyAlignment="1" applyProtection="1">
      <alignment horizontal="center" vertical="center"/>
    </xf>
    <xf numFmtId="1" fontId="28" fillId="25" borderId="10" xfId="1026" applyNumberFormat="1" applyFont="1" applyFill="1" applyBorder="1" applyAlignment="1">
      <alignment horizontal="center" vertical="center"/>
    </xf>
    <xf numFmtId="1" fontId="14" fillId="25" borderId="10" xfId="1026" applyNumberFormat="1" applyFont="1" applyFill="1" applyBorder="1" applyAlignment="1">
      <alignment horizontal="center" vertical="center"/>
    </xf>
    <xf numFmtId="1" fontId="12" fillId="0" borderId="0" xfId="1026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 wrapText="1"/>
    </xf>
    <xf numFmtId="0" fontId="12" fillId="0" borderId="102" xfId="1025" applyFont="1" applyFill="1" applyBorder="1" applyAlignment="1">
      <alignment horizontal="center"/>
    </xf>
    <xf numFmtId="0" fontId="12" fillId="0" borderId="85" xfId="0" applyFont="1" applyFill="1" applyBorder="1" applyAlignment="1">
      <alignment horizontal="center"/>
    </xf>
    <xf numFmtId="0" fontId="12" fillId="0" borderId="85" xfId="1026" applyFont="1" applyFill="1" applyBorder="1" applyAlignment="1">
      <alignment horizontal="center" vertical="center" wrapText="1"/>
    </xf>
    <xf numFmtId="1" fontId="12" fillId="0" borderId="85" xfId="1026" applyNumberFormat="1" applyFont="1" applyFill="1" applyBorder="1" applyAlignment="1">
      <alignment horizontal="center" vertical="center" wrapText="1"/>
    </xf>
    <xf numFmtId="1" fontId="14" fillId="24" borderId="85" xfId="1026" applyNumberFormat="1" applyFont="1" applyFill="1" applyBorder="1" applyAlignment="1">
      <alignment horizontal="center" vertical="center"/>
    </xf>
    <xf numFmtId="1" fontId="14" fillId="24" borderId="85" xfId="1026" applyNumberFormat="1" applyFont="1" applyFill="1" applyBorder="1" applyAlignment="1">
      <alignment horizontal="center" vertical="center" wrapText="1"/>
    </xf>
    <xf numFmtId="166" fontId="12" fillId="0" borderId="85" xfId="1026" applyNumberFormat="1" applyFont="1" applyFill="1" applyBorder="1" applyAlignment="1">
      <alignment horizontal="center" vertical="center" wrapText="1"/>
    </xf>
    <xf numFmtId="1" fontId="12" fillId="0" borderId="135" xfId="1026" applyNumberFormat="1" applyFont="1" applyFill="1" applyBorder="1" applyAlignment="1">
      <alignment horizontal="center" vertical="center" wrapText="1"/>
    </xf>
    <xf numFmtId="166" fontId="12" fillId="0" borderId="84" xfId="1026" applyNumberFormat="1" applyFont="1" applyFill="1" applyBorder="1" applyAlignment="1">
      <alignment horizontal="center" vertical="center" wrapText="1"/>
    </xf>
    <xf numFmtId="1" fontId="12" fillId="24" borderId="85" xfId="1026" applyNumberFormat="1" applyFont="1" applyFill="1" applyBorder="1" applyAlignment="1">
      <alignment horizontal="center" vertical="center" wrapText="1"/>
    </xf>
    <xf numFmtId="0" fontId="12" fillId="24" borderId="85" xfId="1026" applyFont="1" applyFill="1" applyBorder="1" applyAlignment="1">
      <alignment horizontal="center" vertical="center" wrapText="1"/>
    </xf>
    <xf numFmtId="1" fontId="14" fillId="0" borderId="57" xfId="1040" applyNumberFormat="1" applyFont="1" applyFill="1" applyBorder="1" applyAlignment="1" applyProtection="1">
      <alignment horizontal="center" vertical="center" wrapText="1"/>
    </xf>
    <xf numFmtId="1" fontId="12" fillId="0" borderId="44" xfId="1026" applyNumberFormat="1" applyFont="1" applyFill="1" applyBorder="1" applyAlignment="1">
      <alignment horizontal="center" vertical="center" wrapText="1"/>
    </xf>
    <xf numFmtId="1" fontId="12" fillId="0" borderId="52" xfId="1026" applyNumberFormat="1" applyFont="1" applyFill="1" applyBorder="1" applyAlignment="1">
      <alignment horizontal="center" vertical="center" wrapText="1"/>
    </xf>
    <xf numFmtId="1" fontId="12" fillId="0" borderId="14" xfId="1026" applyNumberFormat="1" applyFont="1" applyFill="1" applyBorder="1" applyAlignment="1">
      <alignment horizontal="center" vertical="center" wrapText="1"/>
    </xf>
    <xf numFmtId="1" fontId="12" fillId="0" borderId="161" xfId="1026" applyNumberFormat="1" applyFont="1" applyFill="1" applyBorder="1" applyAlignment="1">
      <alignment horizontal="center" vertical="center" wrapText="1"/>
    </xf>
    <xf numFmtId="1" fontId="28" fillId="0" borderId="0" xfId="1026" applyNumberFormat="1" applyFont="1" applyFill="1" applyBorder="1" applyAlignment="1">
      <alignment horizontal="center" vertical="center"/>
    </xf>
    <xf numFmtId="1" fontId="14" fillId="0" borderId="0" xfId="1035" applyNumberFormat="1" applyFont="1" applyFill="1" applyBorder="1" applyAlignment="1" applyProtection="1">
      <alignment horizontal="center" vertical="center"/>
    </xf>
    <xf numFmtId="0" fontId="12" fillId="0" borderId="68" xfId="0" applyFont="1" applyFill="1" applyBorder="1" applyAlignment="1">
      <alignment horizontal="center" vertical="center"/>
    </xf>
    <xf numFmtId="16" fontId="27" fillId="0" borderId="44" xfId="0" applyNumberFormat="1" applyFont="1" applyFill="1" applyBorder="1" applyAlignment="1">
      <alignment horizontal="left" vertical="center" wrapText="1"/>
    </xf>
    <xf numFmtId="166" fontId="12" fillId="0" borderId="58" xfId="0" applyNumberFormat="1" applyFont="1" applyFill="1" applyBorder="1" applyAlignment="1">
      <alignment horizontal="center" vertical="center"/>
    </xf>
    <xf numFmtId="49" fontId="14" fillId="0" borderId="67" xfId="1026" applyNumberFormat="1" applyFont="1" applyFill="1" applyBorder="1" applyAlignment="1">
      <alignment horizontal="center" vertical="center" wrapText="1"/>
    </xf>
    <xf numFmtId="9" fontId="2" fillId="0" borderId="0" xfId="1035" applyFont="1" applyFill="1" applyBorder="1" applyAlignment="1" applyProtection="1">
      <alignment horizontal="center" vertical="center" wrapText="1"/>
    </xf>
    <xf numFmtId="0" fontId="12" fillId="0" borderId="47" xfId="0" applyFont="1" applyFill="1" applyBorder="1" applyAlignment="1">
      <alignment horizontal="center" vertical="center"/>
    </xf>
    <xf numFmtId="168" fontId="14" fillId="26" borderId="47" xfId="1026" applyNumberFormat="1" applyFont="1" applyFill="1" applyBorder="1" applyAlignment="1">
      <alignment horizontal="center" vertical="center"/>
    </xf>
    <xf numFmtId="0" fontId="12" fillId="26" borderId="44" xfId="0" applyFont="1" applyFill="1" applyBorder="1" applyAlignment="1">
      <alignment vertical="center"/>
    </xf>
    <xf numFmtId="0" fontId="12" fillId="0" borderId="109" xfId="0" applyFont="1" applyFill="1" applyBorder="1" applyAlignment="1">
      <alignment horizontal="center" vertical="center"/>
    </xf>
    <xf numFmtId="168" fontId="14" fillId="25" borderId="58" xfId="1026" applyNumberFormat="1" applyFont="1" applyFill="1" applyBorder="1" applyAlignment="1">
      <alignment horizontal="center" vertical="center"/>
    </xf>
    <xf numFmtId="0" fontId="12" fillId="0" borderId="58" xfId="0" applyFont="1" applyFill="1" applyBorder="1" applyAlignment="1">
      <alignment horizontal="center" vertical="center"/>
    </xf>
    <xf numFmtId="175" fontId="2" fillId="0" borderId="0" xfId="1035" applyNumberFormat="1" applyFont="1" applyFill="1" applyBorder="1" applyAlignment="1" applyProtection="1">
      <alignment horizontal="center" vertical="center" wrapText="1"/>
    </xf>
    <xf numFmtId="49" fontId="14" fillId="0" borderId="150" xfId="1026" applyNumberFormat="1" applyFont="1" applyFill="1" applyBorder="1" applyAlignment="1">
      <alignment horizontal="center" vertical="center" wrapText="1"/>
    </xf>
    <xf numFmtId="166" fontId="14" fillId="26" borderId="74" xfId="1026" applyNumberFormat="1" applyFont="1" applyFill="1" applyBorder="1" applyAlignment="1">
      <alignment horizontal="center" vertical="center"/>
    </xf>
    <xf numFmtId="168" fontId="14" fillId="26" borderId="68" xfId="1026" applyNumberFormat="1" applyFont="1" applyFill="1" applyBorder="1" applyAlignment="1">
      <alignment horizontal="center" vertical="center"/>
    </xf>
    <xf numFmtId="0" fontId="12" fillId="26" borderId="139" xfId="0" applyFont="1" applyFill="1" applyBorder="1" applyAlignment="1">
      <alignment horizontal="center" vertical="center"/>
    </xf>
    <xf numFmtId="0" fontId="21" fillId="26" borderId="37" xfId="0" applyFont="1" applyFill="1" applyBorder="1" applyAlignment="1">
      <alignment horizontal="center" vertical="center"/>
    </xf>
    <xf numFmtId="0" fontId="14" fillId="26" borderId="91" xfId="1026" applyFont="1" applyFill="1" applyBorder="1" applyAlignment="1">
      <alignment horizontal="center" vertical="center"/>
    </xf>
    <xf numFmtId="0" fontId="14" fillId="25" borderId="81" xfId="1026" applyFont="1" applyFill="1" applyBorder="1" applyAlignment="1">
      <alignment horizontal="center" vertical="center" wrapText="1"/>
    </xf>
    <xf numFmtId="0" fontId="14" fillId="25" borderId="173" xfId="1026" applyFont="1" applyFill="1" applyBorder="1" applyAlignment="1">
      <alignment horizontal="center" vertical="center"/>
    </xf>
    <xf numFmtId="0" fontId="14" fillId="25" borderId="174" xfId="1026" applyFont="1" applyFill="1" applyBorder="1" applyAlignment="1">
      <alignment horizontal="center" vertical="center"/>
    </xf>
    <xf numFmtId="0" fontId="14" fillId="25" borderId="175" xfId="1026" applyFont="1" applyFill="1" applyBorder="1" applyAlignment="1">
      <alignment horizontal="center" vertical="center"/>
    </xf>
    <xf numFmtId="1" fontId="14" fillId="25" borderId="175" xfId="1026" applyNumberFormat="1" applyFont="1" applyFill="1" applyBorder="1" applyAlignment="1">
      <alignment horizontal="center" vertical="center"/>
    </xf>
    <xf numFmtId="1" fontId="14" fillId="25" borderId="176" xfId="1026" applyNumberFormat="1" applyFont="1" applyFill="1" applyBorder="1" applyAlignment="1">
      <alignment horizontal="center" vertical="center"/>
    </xf>
    <xf numFmtId="2" fontId="14" fillId="25" borderId="175" xfId="1026" applyNumberFormat="1" applyFont="1" applyFill="1" applyBorder="1" applyAlignment="1">
      <alignment horizontal="center" vertical="center"/>
    </xf>
    <xf numFmtId="166" fontId="14" fillId="25" borderId="175" xfId="1026" applyNumberFormat="1" applyFont="1" applyFill="1" applyBorder="1" applyAlignment="1">
      <alignment horizontal="center" vertical="center"/>
    </xf>
    <xf numFmtId="1" fontId="14" fillId="25" borderId="79" xfId="1026" applyNumberFormat="1" applyFont="1" applyFill="1" applyBorder="1" applyAlignment="1">
      <alignment horizontal="center" vertical="center"/>
    </xf>
    <xf numFmtId="168" fontId="14" fillId="25" borderId="175" xfId="1026" applyNumberFormat="1" applyFont="1" applyFill="1" applyBorder="1" applyAlignment="1">
      <alignment horizontal="center" vertical="center"/>
    </xf>
    <xf numFmtId="168" fontId="14" fillId="25" borderId="80" xfId="1026" applyNumberFormat="1" applyFont="1" applyFill="1" applyBorder="1" applyAlignment="1">
      <alignment horizontal="center" vertical="center"/>
    </xf>
    <xf numFmtId="1" fontId="14" fillId="25" borderId="80" xfId="1026" applyNumberFormat="1" applyFont="1" applyFill="1" applyBorder="1" applyAlignment="1">
      <alignment horizontal="center" vertical="center"/>
    </xf>
    <xf numFmtId="9" fontId="14" fillId="25" borderId="175" xfId="1026" applyNumberFormat="1" applyFont="1" applyFill="1" applyBorder="1" applyAlignment="1">
      <alignment horizontal="center" vertical="center"/>
    </xf>
    <xf numFmtId="0" fontId="4" fillId="25" borderId="102" xfId="0" applyFont="1" applyFill="1" applyBorder="1" applyAlignment="1">
      <alignment horizontal="center" vertical="center" wrapText="1"/>
    </xf>
    <xf numFmtId="0" fontId="21" fillId="0" borderId="58" xfId="0" applyFont="1" applyFill="1" applyBorder="1" applyAlignment="1">
      <alignment horizontal="center" vertical="center"/>
    </xf>
    <xf numFmtId="16" fontId="27" fillId="0" borderId="30" xfId="0" applyNumberFormat="1" applyFont="1" applyFill="1" applyBorder="1" applyAlignment="1">
      <alignment horizontal="left" vertical="center" wrapText="1"/>
    </xf>
    <xf numFmtId="0" fontId="1" fillId="0" borderId="29" xfId="0" applyFont="1" applyFill="1" applyBorder="1"/>
    <xf numFmtId="49" fontId="14" fillId="0" borderId="161" xfId="1026" applyNumberFormat="1" applyFont="1" applyFill="1" applyBorder="1" applyAlignment="1">
      <alignment horizontal="center" vertical="center" wrapText="1"/>
    </xf>
    <xf numFmtId="16" fontId="27" fillId="0" borderId="43" xfId="0" applyNumberFormat="1" applyFont="1" applyFill="1" applyBorder="1" applyAlignment="1">
      <alignment horizontal="left" vertical="center" wrapText="1"/>
    </xf>
    <xf numFmtId="0" fontId="2" fillId="0" borderId="32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1" fillId="0" borderId="32" xfId="0" applyFont="1" applyFill="1" applyBorder="1"/>
    <xf numFmtId="1" fontId="14" fillId="0" borderId="32" xfId="1026" applyNumberFormat="1" applyFont="1" applyFill="1" applyBorder="1" applyAlignment="1">
      <alignment horizontal="center" vertical="center"/>
    </xf>
    <xf numFmtId="0" fontId="12" fillId="26" borderId="73" xfId="0" applyFont="1" applyFill="1" applyBorder="1" applyAlignment="1">
      <alignment horizontal="center"/>
    </xf>
    <xf numFmtId="0" fontId="12" fillId="25" borderId="65" xfId="0" applyFont="1" applyFill="1" applyBorder="1"/>
    <xf numFmtId="0" fontId="2" fillId="0" borderId="17" xfId="0" applyFont="1" applyFill="1" applyBorder="1"/>
    <xf numFmtId="1" fontId="14" fillId="0" borderId="37" xfId="1026" applyNumberFormat="1" applyFont="1" applyFill="1" applyBorder="1" applyAlignment="1">
      <alignment horizontal="center" vertical="center" wrapText="1"/>
    </xf>
    <xf numFmtId="0" fontId="26" fillId="0" borderId="29" xfId="1026" applyFont="1" applyFill="1" applyBorder="1" applyAlignment="1">
      <alignment horizontal="center" vertical="center"/>
    </xf>
    <xf numFmtId="0" fontId="27" fillId="0" borderId="57" xfId="1026" applyFont="1" applyFill="1" applyBorder="1" applyAlignment="1">
      <alignment horizontal="left" vertical="center" wrapText="1"/>
    </xf>
    <xf numFmtId="16" fontId="27" fillId="0" borderId="57" xfId="0" applyNumberFormat="1" applyFont="1" applyFill="1" applyBorder="1" applyAlignment="1">
      <alignment horizontal="left" vertical="center" wrapText="1"/>
    </xf>
    <xf numFmtId="1" fontId="14" fillId="25" borderId="47" xfId="1026" applyNumberFormat="1" applyFont="1" applyFill="1" applyBorder="1" applyAlignment="1">
      <alignment horizontal="center" vertical="center"/>
    </xf>
    <xf numFmtId="0" fontId="14" fillId="25" borderId="23" xfId="1025" applyNumberFormat="1" applyFont="1" applyFill="1" applyBorder="1" applyAlignment="1">
      <alignment horizontal="center" vertical="center" wrapText="1"/>
    </xf>
    <xf numFmtId="0" fontId="14" fillId="25" borderId="25" xfId="0" applyNumberFormat="1" applyFont="1" applyFill="1" applyBorder="1" applyAlignment="1">
      <alignment horizontal="center" vertical="center"/>
    </xf>
    <xf numFmtId="0" fontId="14" fillId="25" borderId="60" xfId="0" applyNumberFormat="1" applyFont="1" applyFill="1" applyBorder="1" applyAlignment="1">
      <alignment horizontal="center" vertical="center"/>
    </xf>
    <xf numFmtId="0" fontId="14" fillId="25" borderId="25" xfId="0" applyFont="1" applyFill="1" applyBorder="1" applyAlignment="1">
      <alignment horizontal="left" vertical="center"/>
    </xf>
    <xf numFmtId="0" fontId="14" fillId="25" borderId="24" xfId="0" applyFont="1" applyFill="1" applyBorder="1" applyAlignment="1">
      <alignment horizontal="center" vertical="center"/>
    </xf>
    <xf numFmtId="1" fontId="14" fillId="25" borderId="25" xfId="1026" applyNumberFormat="1" applyFont="1" applyFill="1" applyBorder="1" applyAlignment="1">
      <alignment horizontal="center" vertical="center" wrapText="1"/>
    </xf>
    <xf numFmtId="0" fontId="14" fillId="25" borderId="25" xfId="0" applyFont="1" applyFill="1" applyBorder="1" applyAlignment="1">
      <alignment horizontal="center" vertical="center" wrapText="1"/>
    </xf>
    <xf numFmtId="168" fontId="14" fillId="25" borderId="25" xfId="0" applyNumberFormat="1" applyFont="1" applyFill="1" applyBorder="1" applyAlignment="1">
      <alignment horizontal="center" vertical="center"/>
    </xf>
    <xf numFmtId="1" fontId="14" fillId="25" borderId="25" xfId="0" applyNumberFormat="1" applyFont="1" applyFill="1" applyBorder="1" applyAlignment="1">
      <alignment horizontal="center" vertical="center"/>
    </xf>
    <xf numFmtId="0" fontId="14" fillId="25" borderId="25" xfId="1026" applyFont="1" applyFill="1" applyBorder="1" applyAlignment="1">
      <alignment horizontal="center" vertical="center"/>
    </xf>
    <xf numFmtId="0" fontId="14" fillId="25" borderId="24" xfId="1026" applyFont="1" applyFill="1" applyBorder="1" applyAlignment="1">
      <alignment horizontal="center" vertical="center" wrapText="1"/>
    </xf>
    <xf numFmtId="1" fontId="14" fillId="25" borderId="24" xfId="1026" applyNumberFormat="1" applyFont="1" applyFill="1" applyBorder="1" applyAlignment="1">
      <alignment horizontal="center" vertical="center"/>
    </xf>
    <xf numFmtId="0" fontId="14" fillId="25" borderId="24" xfId="1026" applyFont="1" applyFill="1" applyBorder="1" applyAlignment="1">
      <alignment horizontal="center" vertical="center"/>
    </xf>
    <xf numFmtId="0" fontId="14" fillId="25" borderId="29" xfId="1026" applyFont="1" applyFill="1" applyBorder="1" applyAlignment="1">
      <alignment horizontal="center" vertical="center"/>
    </xf>
    <xf numFmtId="49" fontId="14" fillId="25" borderId="63" xfId="1026" applyNumberFormat="1" applyFont="1" applyFill="1" applyBorder="1" applyAlignment="1">
      <alignment horizontal="center" vertical="center" wrapText="1"/>
    </xf>
    <xf numFmtId="166" fontId="14" fillId="25" borderId="24" xfId="1040" applyNumberFormat="1" applyFont="1" applyFill="1" applyBorder="1" applyAlignment="1" applyProtection="1">
      <alignment horizontal="center" vertical="center" wrapText="1"/>
    </xf>
    <xf numFmtId="1" fontId="14" fillId="25" borderId="25" xfId="1040" applyNumberFormat="1" applyFont="1" applyFill="1" applyBorder="1" applyAlignment="1" applyProtection="1">
      <alignment horizontal="center" vertical="center"/>
    </xf>
    <xf numFmtId="1" fontId="14" fillId="25" borderId="27" xfId="1040" applyNumberFormat="1" applyFont="1" applyFill="1" applyBorder="1" applyAlignment="1" applyProtection="1">
      <alignment horizontal="center" vertical="center"/>
    </xf>
    <xf numFmtId="166" fontId="14" fillId="25" borderId="28" xfId="1040" applyNumberFormat="1" applyFont="1" applyFill="1" applyBorder="1" applyAlignment="1" applyProtection="1">
      <alignment horizontal="center" vertical="center"/>
    </xf>
    <xf numFmtId="166" fontId="14" fillId="25" borderId="25" xfId="1040" applyNumberFormat="1" applyFont="1" applyFill="1" applyBorder="1" applyAlignment="1" applyProtection="1">
      <alignment horizontal="center" vertical="center"/>
    </xf>
    <xf numFmtId="1" fontId="14" fillId="25" borderId="28" xfId="1040" applyNumberFormat="1" applyFont="1" applyFill="1" applyBorder="1" applyAlignment="1" applyProtection="1">
      <alignment horizontal="center" vertical="center"/>
    </xf>
    <xf numFmtId="1" fontId="14" fillId="25" borderId="25" xfId="0" applyNumberFormat="1" applyFont="1" applyFill="1" applyBorder="1" applyAlignment="1">
      <alignment horizontal="center" vertical="center" wrapText="1"/>
    </xf>
    <xf numFmtId="1" fontId="14" fillId="25" borderId="24" xfId="0" applyNumberFormat="1" applyFont="1" applyFill="1" applyBorder="1" applyAlignment="1">
      <alignment horizontal="center" vertical="center"/>
    </xf>
    <xf numFmtId="1" fontId="14" fillId="25" borderId="63" xfId="0" applyNumberFormat="1" applyFont="1" applyFill="1" applyBorder="1" applyAlignment="1">
      <alignment horizontal="center" vertical="center" wrapText="1"/>
    </xf>
    <xf numFmtId="49" fontId="14" fillId="25" borderId="30" xfId="1026" applyNumberFormat="1" applyFont="1" applyFill="1" applyBorder="1" applyAlignment="1">
      <alignment horizontal="center" vertical="center" wrapText="1"/>
    </xf>
    <xf numFmtId="1" fontId="14" fillId="25" borderId="23" xfId="1026" applyNumberFormat="1" applyFont="1" applyFill="1" applyBorder="1" applyAlignment="1">
      <alignment horizontal="center" vertical="center"/>
    </xf>
    <xf numFmtId="1" fontId="14" fillId="25" borderId="25" xfId="1026" applyNumberFormat="1" applyFont="1" applyFill="1" applyBorder="1" applyAlignment="1">
      <alignment horizontal="center" vertical="center"/>
    </xf>
    <xf numFmtId="9" fontId="14" fillId="25" borderId="28" xfId="0" applyNumberFormat="1" applyFont="1" applyFill="1" applyBorder="1" applyAlignment="1">
      <alignment horizontal="center" vertical="center" wrapText="1"/>
    </xf>
    <xf numFmtId="1" fontId="14" fillId="25" borderId="63" xfId="1026" applyNumberFormat="1" applyFont="1" applyFill="1" applyBorder="1" applyAlignment="1">
      <alignment horizontal="center" vertical="center"/>
    </xf>
    <xf numFmtId="0" fontId="27" fillId="25" borderId="57" xfId="1026" applyFont="1" applyFill="1" applyBorder="1" applyAlignment="1">
      <alignment horizontal="left" vertical="center" wrapText="1"/>
    </xf>
    <xf numFmtId="0" fontId="14" fillId="25" borderId="34" xfId="0" applyFont="1" applyFill="1" applyBorder="1" applyAlignment="1">
      <alignment horizontal="left" vertical="center" wrapText="1"/>
    </xf>
    <xf numFmtId="168" fontId="27" fillId="25" borderId="35" xfId="1026" applyNumberFormat="1" applyFont="1" applyFill="1" applyBorder="1" applyAlignment="1">
      <alignment horizontal="center" vertical="center" wrapText="1"/>
    </xf>
    <xf numFmtId="1" fontId="14" fillId="25" borderId="35" xfId="1026" applyNumberFormat="1" applyFont="1" applyFill="1" applyBorder="1" applyAlignment="1">
      <alignment horizontal="center" vertical="center"/>
    </xf>
    <xf numFmtId="1" fontId="14" fillId="25" borderId="30" xfId="1026" applyNumberFormat="1" applyFont="1" applyFill="1" applyBorder="1" applyAlignment="1">
      <alignment horizontal="center" vertical="center"/>
    </xf>
    <xf numFmtId="1" fontId="14" fillId="25" borderId="29" xfId="1026" applyNumberFormat="1" applyFont="1" applyFill="1" applyBorder="1" applyAlignment="1">
      <alignment horizontal="center" vertical="center"/>
    </xf>
    <xf numFmtId="0" fontId="12" fillId="25" borderId="109" xfId="0" applyFont="1" applyFill="1" applyBorder="1" applyAlignment="1">
      <alignment horizontal="center" vertical="center"/>
    </xf>
    <xf numFmtId="0" fontId="12" fillId="25" borderId="0" xfId="0" applyFont="1" applyFill="1" applyBorder="1" applyAlignment="1">
      <alignment horizontal="center" vertical="center"/>
    </xf>
    <xf numFmtId="168" fontId="12" fillId="25" borderId="0" xfId="0" applyNumberFormat="1" applyFont="1" applyFill="1" applyBorder="1" applyAlignment="1">
      <alignment horizontal="center" vertical="center"/>
    </xf>
    <xf numFmtId="0" fontId="12" fillId="25" borderId="39" xfId="0" applyFont="1" applyFill="1" applyBorder="1" applyAlignment="1">
      <alignment horizontal="center" vertical="center"/>
    </xf>
    <xf numFmtId="168" fontId="12" fillId="25" borderId="22" xfId="0" applyNumberFormat="1" applyFont="1" applyFill="1" applyBorder="1" applyAlignment="1">
      <alignment horizontal="center" vertical="center"/>
    </xf>
    <xf numFmtId="166" fontId="14" fillId="25" borderId="41" xfId="1040" applyNumberFormat="1" applyFont="1" applyFill="1" applyBorder="1" applyAlignment="1" applyProtection="1">
      <alignment horizontal="center" vertical="center"/>
    </xf>
    <xf numFmtId="166" fontId="14" fillId="25" borderId="11" xfId="1040" applyNumberFormat="1" applyFont="1" applyFill="1" applyBorder="1" applyAlignment="1" applyProtection="1">
      <alignment horizontal="center" vertical="center"/>
    </xf>
    <xf numFmtId="1" fontId="14" fillId="25" borderId="11" xfId="1026" applyNumberFormat="1" applyFont="1" applyFill="1" applyBorder="1" applyAlignment="1">
      <alignment horizontal="center" vertical="center" wrapText="1"/>
    </xf>
    <xf numFmtId="1" fontId="14" fillId="25" borderId="16" xfId="1026" applyNumberFormat="1" applyFont="1" applyFill="1" applyBorder="1" applyAlignment="1">
      <alignment horizontal="center" vertical="center" wrapText="1"/>
    </xf>
    <xf numFmtId="0" fontId="12" fillId="25" borderId="15" xfId="0" applyFont="1" applyFill="1" applyBorder="1" applyAlignment="1">
      <alignment horizontal="center" vertical="center" wrapText="1"/>
    </xf>
    <xf numFmtId="1" fontId="12" fillId="25" borderId="11" xfId="0" applyNumberFormat="1" applyFont="1" applyFill="1" applyBorder="1" applyAlignment="1">
      <alignment horizontal="center" vertical="center" wrapText="1"/>
    </xf>
    <xf numFmtId="0" fontId="12" fillId="25" borderId="11" xfId="0" applyFont="1" applyFill="1" applyBorder="1" applyAlignment="1">
      <alignment horizontal="center" vertical="center" wrapText="1"/>
    </xf>
    <xf numFmtId="1" fontId="12" fillId="25" borderId="47" xfId="0" applyNumberFormat="1" applyFont="1" applyFill="1" applyBorder="1" applyAlignment="1">
      <alignment horizontal="center" vertical="center" wrapText="1"/>
    </xf>
    <xf numFmtId="49" fontId="14" fillId="25" borderId="122" xfId="1026" applyNumberFormat="1" applyFont="1" applyFill="1" applyBorder="1" applyAlignment="1">
      <alignment horizontal="center" vertical="center" wrapText="1"/>
    </xf>
    <xf numFmtId="0" fontId="21" fillId="0" borderId="47" xfId="0" applyFont="1" applyFill="1" applyBorder="1" applyAlignment="1">
      <alignment horizontal="center" vertical="center"/>
    </xf>
    <xf numFmtId="1" fontId="14" fillId="0" borderId="137" xfId="1026" applyNumberFormat="1" applyFont="1" applyFill="1" applyBorder="1" applyAlignment="1">
      <alignment horizontal="center" vertical="center"/>
    </xf>
    <xf numFmtId="0" fontId="12" fillId="26" borderId="47" xfId="0" applyFont="1" applyFill="1" applyBorder="1" applyAlignment="1">
      <alignment horizontal="center" vertical="center"/>
    </xf>
    <xf numFmtId="0" fontId="12" fillId="25" borderId="58" xfId="0" applyFont="1" applyFill="1" applyBorder="1" applyAlignment="1">
      <alignment horizontal="center" vertical="center"/>
    </xf>
    <xf numFmtId="0" fontId="4" fillId="0" borderId="109" xfId="0" applyFont="1" applyFill="1" applyBorder="1" applyAlignment="1">
      <alignment horizontal="center" vertical="center" wrapText="1"/>
    </xf>
    <xf numFmtId="0" fontId="14" fillId="0" borderId="91" xfId="1026" applyFont="1" applyFill="1" applyBorder="1" applyAlignment="1">
      <alignment horizontal="center" vertical="center"/>
    </xf>
    <xf numFmtId="0" fontId="27" fillId="0" borderId="57" xfId="0" applyFont="1" applyFill="1" applyBorder="1" applyAlignment="1">
      <alignment horizontal="left" vertical="center" wrapText="1"/>
    </xf>
    <xf numFmtId="179" fontId="12" fillId="0" borderId="109" xfId="0" applyNumberFormat="1" applyFont="1" applyFill="1" applyBorder="1" applyAlignment="1">
      <alignment horizontal="center" vertical="center"/>
    </xf>
    <xf numFmtId="0" fontId="12" fillId="0" borderId="61" xfId="0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left" vertical="center" wrapText="1"/>
    </xf>
    <xf numFmtId="0" fontId="14" fillId="0" borderId="23" xfId="1025" applyFont="1" applyFill="1" applyBorder="1" applyAlignment="1">
      <alignment horizontal="center" vertical="center"/>
    </xf>
    <xf numFmtId="0" fontId="12" fillId="26" borderId="116" xfId="0" applyFont="1" applyFill="1" applyBorder="1" applyAlignment="1">
      <alignment horizontal="center"/>
    </xf>
    <xf numFmtId="0" fontId="14" fillId="0" borderId="57" xfId="0" applyFont="1" applyFill="1" applyBorder="1" applyAlignment="1">
      <alignment horizontal="center" vertical="center" wrapText="1"/>
    </xf>
    <xf numFmtId="0" fontId="27" fillId="0" borderId="33" xfId="0" applyFont="1" applyFill="1" applyBorder="1" applyAlignment="1">
      <alignment horizontal="left" vertical="center" wrapText="1"/>
    </xf>
    <xf numFmtId="1" fontId="14" fillId="0" borderId="23" xfId="1040" applyNumberFormat="1" applyFont="1" applyFill="1" applyBorder="1" applyAlignment="1" applyProtection="1">
      <alignment horizontal="center" vertical="center" wrapText="1"/>
    </xf>
    <xf numFmtId="1" fontId="14" fillId="24" borderId="38" xfId="1026" applyNumberFormat="1" applyFont="1" applyFill="1" applyBorder="1" applyAlignment="1">
      <alignment horizontal="center" vertical="center"/>
    </xf>
    <xf numFmtId="1" fontId="14" fillId="27" borderId="29" xfId="1026" applyNumberFormat="1" applyFont="1" applyFill="1" applyBorder="1" applyAlignment="1">
      <alignment horizontal="center" vertical="center"/>
    </xf>
    <xf numFmtId="0" fontId="12" fillId="27" borderId="109" xfId="0" applyFont="1" applyFill="1" applyBorder="1" applyAlignment="1">
      <alignment horizontal="center" vertical="center"/>
    </xf>
    <xf numFmtId="168" fontId="14" fillId="27" borderId="24" xfId="1026" applyNumberFormat="1" applyFont="1" applyFill="1" applyBorder="1" applyAlignment="1">
      <alignment horizontal="center" vertical="center" wrapText="1"/>
    </xf>
    <xf numFmtId="3" fontId="4" fillId="0" borderId="58" xfId="0" applyNumberFormat="1" applyFont="1" applyFill="1" applyBorder="1" applyAlignment="1">
      <alignment horizontal="center"/>
    </xf>
    <xf numFmtId="0" fontId="2" fillId="26" borderId="38" xfId="0" applyFont="1" applyFill="1" applyBorder="1"/>
    <xf numFmtId="0" fontId="2" fillId="25" borderId="17" xfId="0" applyFont="1" applyFill="1" applyBorder="1"/>
    <xf numFmtId="0" fontId="21" fillId="25" borderId="47" xfId="0" applyFont="1" applyFill="1" applyBorder="1" applyAlignment="1">
      <alignment horizontal="center" vertical="center"/>
    </xf>
    <xf numFmtId="0" fontId="21" fillId="0" borderId="109" xfId="0" applyFont="1" applyFill="1" applyBorder="1" applyAlignment="1">
      <alignment horizontal="center" vertical="center"/>
    </xf>
    <xf numFmtId="1" fontId="14" fillId="25" borderId="24" xfId="1026" applyNumberFormat="1" applyFont="1" applyFill="1" applyBorder="1" applyAlignment="1">
      <alignment horizontal="center" vertical="center" wrapText="1"/>
    </xf>
    <xf numFmtId="0" fontId="14" fillId="25" borderId="24" xfId="0" applyFont="1" applyFill="1" applyBorder="1" applyAlignment="1">
      <alignment horizontal="center" vertical="center" wrapText="1"/>
    </xf>
    <xf numFmtId="168" fontId="14" fillId="25" borderId="24" xfId="1026" applyNumberFormat="1" applyFont="1" applyFill="1" applyBorder="1" applyAlignment="1">
      <alignment horizontal="center" vertical="center" wrapText="1"/>
    </xf>
    <xf numFmtId="168" fontId="14" fillId="25" borderId="24" xfId="0" applyNumberFormat="1" applyFont="1" applyFill="1" applyBorder="1" applyAlignment="1">
      <alignment horizontal="center" vertical="center"/>
    </xf>
    <xf numFmtId="168" fontId="14" fillId="25" borderId="24" xfId="1026" applyNumberFormat="1" applyFont="1" applyFill="1" applyBorder="1" applyAlignment="1">
      <alignment horizontal="center" vertical="center"/>
    </xf>
    <xf numFmtId="166" fontId="14" fillId="25" borderId="31" xfId="1040" applyNumberFormat="1" applyFont="1" applyFill="1" applyBorder="1" applyAlignment="1" applyProtection="1">
      <alignment horizontal="center" vertical="center" wrapText="1"/>
    </xf>
    <xf numFmtId="166" fontId="14" fillId="25" borderId="25" xfId="1026" applyNumberFormat="1" applyFont="1" applyFill="1" applyBorder="1" applyAlignment="1">
      <alignment horizontal="center" vertical="center" wrapText="1"/>
    </xf>
    <xf numFmtId="166" fontId="14" fillId="25" borderId="31" xfId="1040" applyNumberFormat="1" applyFont="1" applyFill="1" applyBorder="1" applyAlignment="1" applyProtection="1">
      <alignment horizontal="center" vertical="center"/>
    </xf>
    <xf numFmtId="166" fontId="14" fillId="25" borderId="24" xfId="1040" applyNumberFormat="1" applyFont="1" applyFill="1" applyBorder="1" applyAlignment="1" applyProtection="1">
      <alignment horizontal="center" vertical="center"/>
    </xf>
    <xf numFmtId="0" fontId="14" fillId="25" borderId="25" xfId="1026" applyNumberFormat="1" applyFont="1" applyFill="1" applyBorder="1" applyAlignment="1">
      <alignment horizontal="center" vertical="center"/>
    </xf>
    <xf numFmtId="1" fontId="14" fillId="25" borderId="35" xfId="0" applyNumberFormat="1" applyFont="1" applyFill="1" applyBorder="1" applyAlignment="1">
      <alignment horizontal="center" vertical="center" wrapText="1"/>
    </xf>
    <xf numFmtId="0" fontId="14" fillId="25" borderId="30" xfId="1026" applyFont="1" applyFill="1" applyBorder="1" applyAlignment="1">
      <alignment horizontal="center" vertical="center" wrapText="1"/>
    </xf>
    <xf numFmtId="0" fontId="27" fillId="25" borderId="57" xfId="0" applyFont="1" applyFill="1" applyBorder="1" applyAlignment="1">
      <alignment horizontal="left" vertical="center" wrapText="1"/>
    </xf>
    <xf numFmtId="0" fontId="14" fillId="25" borderId="35" xfId="0" applyFont="1" applyFill="1" applyBorder="1" applyAlignment="1">
      <alignment horizontal="center" vertical="center"/>
    </xf>
    <xf numFmtId="0" fontId="14" fillId="25" borderId="35" xfId="0" applyFont="1" applyFill="1" applyBorder="1" applyAlignment="1">
      <alignment horizontal="center" vertical="center" wrapText="1"/>
    </xf>
    <xf numFmtId="168" fontId="14" fillId="25" borderId="30" xfId="1026" applyNumberFormat="1" applyFont="1" applyFill="1" applyBorder="1" applyAlignment="1">
      <alignment horizontal="center" vertical="center"/>
    </xf>
    <xf numFmtId="0" fontId="14" fillId="25" borderId="30" xfId="0" applyFont="1" applyFill="1" applyBorder="1" applyAlignment="1">
      <alignment horizontal="center" vertical="center"/>
    </xf>
    <xf numFmtId="1" fontId="12" fillId="25" borderId="0" xfId="0" applyNumberFormat="1" applyFont="1" applyFill="1" applyBorder="1" applyAlignment="1">
      <alignment horizontal="center" vertical="center"/>
    </xf>
    <xf numFmtId="0" fontId="12" fillId="25" borderId="54" xfId="0" applyFont="1" applyFill="1" applyBorder="1" applyAlignment="1">
      <alignment horizontal="center" vertical="center" wrapText="1"/>
    </xf>
    <xf numFmtId="1" fontId="12" fillId="25" borderId="14" xfId="0" applyNumberFormat="1" applyFont="1" applyFill="1" applyBorder="1" applyAlignment="1">
      <alignment horizontal="center" vertical="center" wrapText="1"/>
    </xf>
    <xf numFmtId="1" fontId="12" fillId="25" borderId="40" xfId="0" applyNumberFormat="1" applyFont="1" applyFill="1" applyBorder="1" applyAlignment="1">
      <alignment horizontal="center" vertical="center" wrapText="1"/>
    </xf>
    <xf numFmtId="1" fontId="14" fillId="25" borderId="56" xfId="1026" applyNumberFormat="1" applyFont="1" applyFill="1" applyBorder="1" applyAlignment="1">
      <alignment horizontal="center" vertical="center" wrapText="1"/>
    </xf>
    <xf numFmtId="0" fontId="28" fillId="25" borderId="35" xfId="0" applyFont="1" applyFill="1" applyBorder="1" applyAlignment="1">
      <alignment horizontal="center" vertical="center" wrapText="1"/>
    </xf>
    <xf numFmtId="0" fontId="14" fillId="26" borderId="31" xfId="1025" applyFont="1" applyFill="1" applyBorder="1" applyAlignment="1">
      <alignment horizontal="center" vertical="center" wrapText="1"/>
    </xf>
    <xf numFmtId="0" fontId="14" fillId="26" borderId="24" xfId="0" applyFont="1" applyFill="1" applyBorder="1" applyAlignment="1">
      <alignment horizontal="center" vertical="center"/>
    </xf>
    <xf numFmtId="0" fontId="14" fillId="26" borderId="25" xfId="0" applyFont="1" applyFill="1" applyBorder="1" applyAlignment="1">
      <alignment horizontal="left" vertical="center"/>
    </xf>
    <xf numFmtId="1" fontId="14" fillId="26" borderId="24" xfId="1026" applyNumberFormat="1" applyFont="1" applyFill="1" applyBorder="1" applyAlignment="1">
      <alignment horizontal="center" vertical="center" wrapText="1"/>
    </xf>
    <xf numFmtId="0" fontId="14" fillId="26" borderId="24" xfId="0" applyFont="1" applyFill="1" applyBorder="1" applyAlignment="1">
      <alignment horizontal="center" vertical="center" wrapText="1"/>
    </xf>
    <xf numFmtId="168" fontId="14" fillId="26" borderId="107" xfId="1026" applyNumberFormat="1" applyFont="1" applyFill="1" applyBorder="1" applyAlignment="1">
      <alignment horizontal="center" vertical="center" wrapText="1"/>
    </xf>
    <xf numFmtId="1" fontId="14" fillId="26" borderId="24" xfId="0" applyNumberFormat="1" applyFont="1" applyFill="1" applyBorder="1" applyAlignment="1">
      <alignment horizontal="center" vertical="center"/>
    </xf>
    <xf numFmtId="0" fontId="14" fillId="26" borderId="24" xfId="1026" applyFont="1" applyFill="1" applyBorder="1" applyAlignment="1">
      <alignment horizontal="center" vertical="center"/>
    </xf>
    <xf numFmtId="0" fontId="14" fillId="26" borderId="24" xfId="1026" applyFont="1" applyFill="1" applyBorder="1" applyAlignment="1">
      <alignment horizontal="center" vertical="center" wrapText="1"/>
    </xf>
    <xf numFmtId="1" fontId="14" fillId="26" borderId="24" xfId="1026" applyNumberFormat="1" applyFont="1" applyFill="1" applyBorder="1" applyAlignment="1">
      <alignment horizontal="center" vertical="center"/>
    </xf>
    <xf numFmtId="49" fontId="14" fillId="26" borderId="63" xfId="1026" applyNumberFormat="1" applyFont="1" applyFill="1" applyBorder="1" applyAlignment="1">
      <alignment horizontal="center" vertical="center" wrapText="1"/>
    </xf>
    <xf numFmtId="166" fontId="14" fillId="26" borderId="28" xfId="1040" applyNumberFormat="1" applyFont="1" applyFill="1" applyBorder="1" applyAlignment="1" applyProtection="1">
      <alignment horizontal="center" vertical="center" wrapText="1"/>
    </xf>
    <xf numFmtId="166" fontId="14" fillId="26" borderId="25" xfId="1040" applyNumberFormat="1" applyFont="1" applyFill="1" applyBorder="1" applyAlignment="1" applyProtection="1">
      <alignment horizontal="center" vertical="center" wrapText="1"/>
    </xf>
    <xf numFmtId="166" fontId="14" fillId="26" borderId="24" xfId="1026" applyNumberFormat="1" applyFont="1" applyFill="1" applyBorder="1" applyAlignment="1">
      <alignment horizontal="center" vertical="center" wrapText="1"/>
    </xf>
    <xf numFmtId="1" fontId="14" fillId="26" borderId="25" xfId="1040" applyNumberFormat="1" applyFont="1" applyFill="1" applyBorder="1" applyAlignment="1" applyProtection="1">
      <alignment horizontal="center" vertical="center"/>
    </xf>
    <xf numFmtId="1" fontId="14" fillId="26" borderId="27" xfId="1040" applyNumberFormat="1" applyFont="1" applyFill="1" applyBorder="1" applyAlignment="1" applyProtection="1">
      <alignment horizontal="center" vertical="center"/>
    </xf>
    <xf numFmtId="166" fontId="14" fillId="26" borderId="25" xfId="1040" applyNumberFormat="1" applyFont="1" applyFill="1" applyBorder="1" applyAlignment="1" applyProtection="1">
      <alignment horizontal="center" vertical="center"/>
    </xf>
    <xf numFmtId="166" fontId="14" fillId="26" borderId="28" xfId="1040" applyNumberFormat="1" applyFont="1" applyFill="1" applyBorder="1" applyAlignment="1" applyProtection="1">
      <alignment horizontal="center" vertical="center"/>
    </xf>
    <xf numFmtId="1" fontId="14" fillId="26" borderId="28" xfId="1040" applyNumberFormat="1" applyFont="1" applyFill="1" applyBorder="1" applyAlignment="1" applyProtection="1">
      <alignment horizontal="center" vertical="center"/>
    </xf>
    <xf numFmtId="168" fontId="14" fillId="26" borderId="25" xfId="1040" applyNumberFormat="1" applyFont="1" applyFill="1" applyBorder="1" applyAlignment="1" applyProtection="1">
      <alignment horizontal="center" vertical="center"/>
    </xf>
    <xf numFmtId="0" fontId="14" fillId="26" borderId="25" xfId="1026" applyNumberFormat="1" applyFont="1" applyFill="1" applyBorder="1" applyAlignment="1">
      <alignment horizontal="center" vertical="center"/>
    </xf>
    <xf numFmtId="0" fontId="14" fillId="26" borderId="25" xfId="0" applyFont="1" applyFill="1" applyBorder="1" applyAlignment="1">
      <alignment horizontal="center" vertical="center" wrapText="1"/>
    </xf>
    <xf numFmtId="1" fontId="14" fillId="26" borderId="35" xfId="0" applyNumberFormat="1" applyFont="1" applyFill="1" applyBorder="1" applyAlignment="1">
      <alignment horizontal="center" vertical="center" wrapText="1"/>
    </xf>
    <xf numFmtId="0" fontId="14" fillId="26" borderId="57" xfId="1026" applyFont="1" applyFill="1" applyBorder="1" applyAlignment="1">
      <alignment horizontal="center" vertical="center" wrapText="1"/>
    </xf>
    <xf numFmtId="1" fontId="14" fillId="26" borderId="31" xfId="1026" applyNumberFormat="1" applyFont="1" applyFill="1" applyBorder="1" applyAlignment="1">
      <alignment horizontal="center" vertical="center"/>
    </xf>
    <xf numFmtId="1" fontId="14" fillId="26" borderId="25" xfId="1026" applyNumberFormat="1" applyFont="1" applyFill="1" applyBorder="1" applyAlignment="1">
      <alignment horizontal="center" vertical="center"/>
    </xf>
    <xf numFmtId="168" fontId="14" fillId="26" borderId="28" xfId="1026" applyNumberFormat="1" applyFont="1" applyFill="1" applyBorder="1" applyAlignment="1">
      <alignment horizontal="center" vertical="center"/>
    </xf>
    <xf numFmtId="1" fontId="14" fillId="26" borderId="26" xfId="1026" applyNumberFormat="1" applyFont="1" applyFill="1" applyBorder="1" applyAlignment="1">
      <alignment horizontal="center" vertical="center"/>
    </xf>
    <xf numFmtId="0" fontId="27" fillId="26" borderId="30" xfId="0" applyFont="1" applyFill="1" applyBorder="1" applyAlignment="1">
      <alignment horizontal="left" vertical="center" wrapText="1"/>
    </xf>
    <xf numFmtId="0" fontId="14" fillId="26" borderId="35" xfId="0" applyFont="1" applyFill="1" applyBorder="1" applyAlignment="1">
      <alignment horizontal="center" vertical="center"/>
    </xf>
    <xf numFmtId="168" fontId="28" fillId="26" borderId="30" xfId="1026" applyNumberFormat="1" applyFont="1" applyFill="1" applyBorder="1" applyAlignment="1">
      <alignment horizontal="center" vertical="center" wrapText="1"/>
    </xf>
    <xf numFmtId="1" fontId="14" fillId="26" borderId="30" xfId="1026" applyNumberFormat="1" applyFont="1" applyFill="1" applyBorder="1" applyAlignment="1">
      <alignment horizontal="center" vertical="center"/>
    </xf>
    <xf numFmtId="1" fontId="14" fillId="26" borderId="35" xfId="1026" applyNumberFormat="1" applyFont="1" applyFill="1" applyBorder="1" applyAlignment="1">
      <alignment horizontal="center" vertical="center"/>
    </xf>
    <xf numFmtId="1" fontId="14" fillId="26" borderId="29" xfId="1026" applyNumberFormat="1" applyFont="1" applyFill="1" applyBorder="1" applyAlignment="1">
      <alignment horizontal="center" vertical="center"/>
    </xf>
    <xf numFmtId="0" fontId="12" fillId="26" borderId="109" xfId="0" applyFont="1" applyFill="1" applyBorder="1" applyAlignment="1">
      <alignment horizontal="center" vertical="center"/>
    </xf>
    <xf numFmtId="0" fontId="12" fillId="26" borderId="0" xfId="0" applyFont="1" applyFill="1" applyBorder="1" applyAlignment="1">
      <alignment horizontal="center" vertical="center"/>
    </xf>
    <xf numFmtId="168" fontId="12" fillId="26" borderId="0" xfId="0" applyNumberFormat="1" applyFont="1" applyFill="1" applyBorder="1" applyAlignment="1">
      <alignment horizontal="center" vertical="center"/>
    </xf>
    <xf numFmtId="0" fontId="12" fillId="26" borderId="39" xfId="0" applyFont="1" applyFill="1" applyBorder="1" applyAlignment="1">
      <alignment horizontal="center" vertical="center"/>
    </xf>
    <xf numFmtId="168" fontId="12" fillId="26" borderId="22" xfId="0" applyNumberFormat="1" applyFont="1" applyFill="1" applyBorder="1" applyAlignment="1">
      <alignment horizontal="center" vertical="center"/>
    </xf>
    <xf numFmtId="1" fontId="12" fillId="26" borderId="0" xfId="0" applyNumberFormat="1" applyFont="1" applyFill="1" applyBorder="1" applyAlignment="1">
      <alignment horizontal="center" vertical="center"/>
    </xf>
    <xf numFmtId="166" fontId="14" fillId="26" borderId="41" xfId="1040" applyNumberFormat="1" applyFont="1" applyFill="1" applyBorder="1" applyAlignment="1" applyProtection="1">
      <alignment horizontal="center" vertical="center"/>
    </xf>
    <xf numFmtId="166" fontId="14" fillId="26" borderId="11" xfId="1040" applyNumberFormat="1" applyFont="1" applyFill="1" applyBorder="1" applyAlignment="1" applyProtection="1">
      <alignment horizontal="center" vertical="center"/>
    </xf>
    <xf numFmtId="1" fontId="14" fillId="26" borderId="16" xfId="1026" applyNumberFormat="1" applyFont="1" applyFill="1" applyBorder="1" applyAlignment="1">
      <alignment horizontal="center" vertical="center" wrapText="1"/>
    </xf>
    <xf numFmtId="0" fontId="12" fillId="26" borderId="54" xfId="0" applyFont="1" applyFill="1" applyBorder="1" applyAlignment="1">
      <alignment horizontal="center" vertical="center" wrapText="1"/>
    </xf>
    <xf numFmtId="1" fontId="12" fillId="26" borderId="40" xfId="0" applyNumberFormat="1" applyFont="1" applyFill="1" applyBorder="1" applyAlignment="1">
      <alignment horizontal="center" vertical="center" wrapText="1"/>
    </xf>
    <xf numFmtId="49" fontId="14" fillId="26" borderId="56" xfId="1026" applyNumberFormat="1" applyFont="1" applyFill="1" applyBorder="1" applyAlignment="1">
      <alignment horizontal="center" vertical="center" wrapText="1"/>
    </xf>
    <xf numFmtId="0" fontId="14" fillId="27" borderId="31" xfId="1025" applyFont="1" applyFill="1" applyBorder="1" applyAlignment="1">
      <alignment horizontal="center" vertical="center" wrapText="1"/>
    </xf>
    <xf numFmtId="168" fontId="14" fillId="27" borderId="107" xfId="1026" applyNumberFormat="1" applyFont="1" applyFill="1" applyBorder="1" applyAlignment="1">
      <alignment horizontal="center" vertical="center" wrapText="1"/>
    </xf>
    <xf numFmtId="166" fontId="14" fillId="27" borderId="28" xfId="1040" applyNumberFormat="1" applyFont="1" applyFill="1" applyBorder="1" applyAlignment="1" applyProtection="1">
      <alignment horizontal="center" vertical="center" wrapText="1"/>
    </xf>
    <xf numFmtId="166" fontId="14" fillId="27" borderId="25" xfId="1040" applyNumberFormat="1" applyFont="1" applyFill="1" applyBorder="1" applyAlignment="1" applyProtection="1">
      <alignment horizontal="center" vertical="center" wrapText="1"/>
    </xf>
    <xf numFmtId="166" fontId="14" fillId="27" borderId="28" xfId="1040" applyNumberFormat="1" applyFont="1" applyFill="1" applyBorder="1" applyAlignment="1" applyProtection="1">
      <alignment horizontal="center" vertical="center"/>
    </xf>
    <xf numFmtId="0" fontId="14" fillId="27" borderId="57" xfId="1026" applyFont="1" applyFill="1" applyBorder="1" applyAlignment="1">
      <alignment horizontal="center" vertical="center" wrapText="1"/>
    </xf>
    <xf numFmtId="1" fontId="14" fillId="27" borderId="28" xfId="1026" applyNumberFormat="1" applyFont="1" applyFill="1" applyBorder="1" applyAlignment="1">
      <alignment horizontal="center" vertical="center"/>
    </xf>
    <xf numFmtId="1" fontId="14" fillId="27" borderId="26" xfId="1026" applyNumberFormat="1" applyFont="1" applyFill="1" applyBorder="1" applyAlignment="1">
      <alignment horizontal="center" vertical="center"/>
    </xf>
    <xf numFmtId="1" fontId="12" fillId="27" borderId="22" xfId="0" applyNumberFormat="1" applyFont="1" applyFill="1" applyBorder="1" applyAlignment="1">
      <alignment horizontal="center" vertical="center"/>
    </xf>
    <xf numFmtId="1" fontId="14" fillId="27" borderId="11" xfId="1026" applyNumberFormat="1" applyFont="1" applyFill="1" applyBorder="1" applyAlignment="1">
      <alignment horizontal="center" vertical="center"/>
    </xf>
    <xf numFmtId="0" fontId="26" fillId="27" borderId="24" xfId="1026" applyFont="1" applyFill="1" applyBorder="1" applyAlignment="1">
      <alignment horizontal="center" vertical="center"/>
    </xf>
    <xf numFmtId="166" fontId="14" fillId="27" borderId="25" xfId="1026" applyNumberFormat="1" applyFont="1" applyFill="1" applyBorder="1" applyAlignment="1">
      <alignment horizontal="center" vertical="center" wrapText="1"/>
    </xf>
    <xf numFmtId="168" fontId="27" fillId="27" borderId="30" xfId="1026" applyNumberFormat="1" applyFont="1" applyFill="1" applyBorder="1" applyAlignment="1">
      <alignment horizontal="center" vertical="center" wrapText="1"/>
    </xf>
    <xf numFmtId="168" fontId="27" fillId="27" borderId="35" xfId="1026" applyNumberFormat="1" applyFont="1" applyFill="1" applyBorder="1" applyAlignment="1">
      <alignment horizontal="center" vertical="center" wrapText="1"/>
    </xf>
    <xf numFmtId="0" fontId="12" fillId="26" borderId="65" xfId="0" applyFont="1" applyFill="1" applyBorder="1" applyAlignment="1">
      <alignment horizontal="center" vertical="center"/>
    </xf>
    <xf numFmtId="0" fontId="12" fillId="26" borderId="49" xfId="0" applyFont="1" applyFill="1" applyBorder="1" applyAlignment="1">
      <alignment horizontal="center" vertical="center"/>
    </xf>
    <xf numFmtId="168" fontId="12" fillId="26" borderId="49" xfId="0" applyNumberFormat="1" applyFont="1" applyFill="1" applyBorder="1" applyAlignment="1">
      <alignment horizontal="center" vertical="center"/>
    </xf>
    <xf numFmtId="0" fontId="4" fillId="25" borderId="65" xfId="0" applyFont="1" applyFill="1" applyBorder="1" applyAlignment="1">
      <alignment horizontal="center" vertical="center" wrapText="1"/>
    </xf>
    <xf numFmtId="49" fontId="14" fillId="0" borderId="59" xfId="1026" applyNumberFormat="1" applyFont="1" applyFill="1" applyBorder="1" applyAlignment="1">
      <alignment horizontal="center" vertical="center" wrapText="1"/>
    </xf>
    <xf numFmtId="0" fontId="2" fillId="26" borderId="17" xfId="0" applyFont="1" applyFill="1" applyBorder="1"/>
    <xf numFmtId="0" fontId="12" fillId="26" borderId="65" xfId="0" applyFont="1" applyFill="1" applyBorder="1" applyAlignment="1">
      <alignment horizontal="center"/>
    </xf>
    <xf numFmtId="0" fontId="2" fillId="0" borderId="38" xfId="0" applyFont="1" applyFill="1" applyBorder="1"/>
    <xf numFmtId="49" fontId="14" fillId="25" borderId="53" xfId="1026" applyNumberFormat="1" applyFont="1" applyFill="1" applyBorder="1" applyAlignment="1">
      <alignment horizontal="center" vertical="center" wrapText="1"/>
    </xf>
    <xf numFmtId="0" fontId="36" fillId="26" borderId="11" xfId="0" applyFont="1" applyFill="1" applyBorder="1" applyAlignment="1">
      <alignment vertical="center"/>
    </xf>
    <xf numFmtId="168" fontId="14" fillId="24" borderId="25" xfId="1026" applyNumberFormat="1" applyFont="1" applyFill="1" applyBorder="1" applyAlignment="1">
      <alignment horizontal="center" vertical="center"/>
    </xf>
    <xf numFmtId="0" fontId="27" fillId="0" borderId="30" xfId="1026" applyFont="1" applyFill="1" applyBorder="1" applyAlignment="1">
      <alignment horizontal="left" vertical="center" wrapText="1"/>
    </xf>
    <xf numFmtId="0" fontId="1" fillId="0" borderId="121" xfId="0" applyFont="1" applyFill="1" applyBorder="1"/>
    <xf numFmtId="0" fontId="27" fillId="0" borderId="43" xfId="1026" applyFont="1" applyFill="1" applyBorder="1" applyAlignment="1">
      <alignment horizontal="left" vertical="center" wrapText="1"/>
    </xf>
    <xf numFmtId="0" fontId="1" fillId="0" borderId="177" xfId="0" applyFont="1" applyFill="1" applyBorder="1"/>
    <xf numFmtId="0" fontId="14" fillId="26" borderId="59" xfId="1026" applyFont="1" applyFill="1" applyBorder="1" applyAlignment="1">
      <alignment horizontal="center" vertical="center"/>
    </xf>
    <xf numFmtId="0" fontId="12" fillId="25" borderId="161" xfId="0" applyFont="1" applyFill="1" applyBorder="1" applyAlignment="1">
      <alignment horizontal="center"/>
    </xf>
    <xf numFmtId="0" fontId="12" fillId="25" borderId="134" xfId="0" applyFont="1" applyFill="1" applyBorder="1" applyAlignment="1">
      <alignment horizontal="center"/>
    </xf>
    <xf numFmtId="0" fontId="12" fillId="25" borderId="46" xfId="0" applyFont="1" applyFill="1" applyBorder="1" applyAlignment="1">
      <alignment horizontal="center"/>
    </xf>
    <xf numFmtId="1" fontId="23" fillId="0" borderId="52" xfId="1026" applyNumberFormat="1" applyFont="1" applyFill="1" applyBorder="1" applyAlignment="1">
      <alignment horizontal="left" vertical="center" wrapText="1"/>
    </xf>
    <xf numFmtId="0" fontId="12" fillId="0" borderId="0" xfId="0" applyFont="1"/>
    <xf numFmtId="0" fontId="59" fillId="0" borderId="0" xfId="1027" applyFont="1" applyFill="1" applyAlignment="1">
      <alignment horizontal="center" vertical="center" wrapText="1"/>
    </xf>
    <xf numFmtId="0" fontId="56" fillId="0" borderId="0" xfId="1027" applyFont="1" applyFill="1" applyAlignment="1">
      <alignment horizontal="center" vertical="center" wrapText="1"/>
    </xf>
    <xf numFmtId="0" fontId="45" fillId="0" borderId="59" xfId="1028" applyFont="1" applyFill="1" applyBorder="1" applyAlignment="1" applyProtection="1">
      <alignment horizontal="center" vertical="center"/>
      <protection locked="0"/>
    </xf>
    <xf numFmtId="1" fontId="45" fillId="0" borderId="22" xfId="1031" applyNumberFormat="1" applyFont="1" applyFill="1" applyBorder="1" applyAlignment="1" applyProtection="1">
      <alignment horizontal="center" vertical="center"/>
      <protection locked="0"/>
    </xf>
    <xf numFmtId="3" fontId="45" fillId="0" borderId="13" xfId="1028" applyNumberFormat="1" applyFont="1" applyFill="1" applyBorder="1" applyAlignment="1" applyProtection="1">
      <alignment horizontal="center" vertical="center"/>
      <protection locked="0"/>
    </xf>
    <xf numFmtId="3" fontId="45" fillId="0" borderId="13" xfId="1031" applyNumberFormat="1" applyFont="1" applyFill="1" applyBorder="1" applyAlignment="1" applyProtection="1">
      <alignment horizontal="center" vertical="center"/>
      <protection locked="0"/>
    </xf>
    <xf numFmtId="3" fontId="45" fillId="0" borderId="0" xfId="1031" applyNumberFormat="1" applyFont="1" applyFill="1" applyBorder="1" applyAlignment="1" applyProtection="1">
      <alignment horizontal="center" vertical="center"/>
      <protection locked="0"/>
    </xf>
    <xf numFmtId="3" fontId="43" fillId="0" borderId="43" xfId="1028" applyNumberFormat="1" applyFont="1" applyFill="1" applyBorder="1" applyAlignment="1" applyProtection="1">
      <alignment horizontal="center" vertical="center"/>
      <protection locked="0"/>
    </xf>
    <xf numFmtId="1" fontId="45" fillId="0" borderId="32" xfId="1031" applyNumberFormat="1" applyFont="1" applyFill="1" applyBorder="1" applyAlignment="1" applyProtection="1">
      <alignment horizontal="center" vertical="center"/>
      <protection locked="0"/>
    </xf>
    <xf numFmtId="0" fontId="45" fillId="0" borderId="157" xfId="1028" applyFont="1" applyFill="1" applyBorder="1" applyAlignment="1" applyProtection="1">
      <alignment horizontal="center" vertical="center"/>
      <protection locked="0"/>
    </xf>
    <xf numFmtId="3" fontId="40" fillId="0" borderId="178" xfId="1028" applyNumberFormat="1" applyFont="1" applyFill="1" applyBorder="1" applyAlignment="1" applyProtection="1">
      <alignment horizontal="center" vertical="center"/>
      <protection hidden="1"/>
    </xf>
    <xf numFmtId="3" fontId="40" fillId="0" borderId="179" xfId="1028" applyNumberFormat="1" applyFont="1" applyFill="1" applyBorder="1" applyAlignment="1" applyProtection="1">
      <alignment horizontal="center" vertical="center"/>
      <protection hidden="1"/>
    </xf>
    <xf numFmtId="3" fontId="40" fillId="0" borderId="180" xfId="1028" applyNumberFormat="1" applyFont="1" applyFill="1" applyBorder="1" applyAlignment="1" applyProtection="1">
      <alignment horizontal="center" vertical="center"/>
    </xf>
    <xf numFmtId="3" fontId="40" fillId="0" borderId="181" xfId="1028" applyNumberFormat="1" applyFont="1" applyFill="1" applyBorder="1" applyAlignment="1" applyProtection="1">
      <alignment horizontal="center" vertical="center"/>
      <protection hidden="1"/>
    </xf>
    <xf numFmtId="3" fontId="40" fillId="0" borderId="182" xfId="1028" applyNumberFormat="1" applyFont="1" applyFill="1" applyBorder="1" applyAlignment="1" applyProtection="1">
      <alignment horizontal="center" vertical="center"/>
      <protection hidden="1"/>
    </xf>
    <xf numFmtId="3" fontId="40" fillId="0" borderId="183" xfId="1028" applyNumberFormat="1" applyFont="1" applyFill="1" applyBorder="1" applyAlignment="1" applyProtection="1">
      <alignment horizontal="center" vertical="center"/>
    </xf>
    <xf numFmtId="0" fontId="40" fillId="0" borderId="184" xfId="1028" applyFont="1" applyFill="1" applyBorder="1" applyAlignment="1" applyProtection="1">
      <alignment horizontal="center" vertical="center"/>
      <protection locked="0"/>
    </xf>
    <xf numFmtId="0" fontId="40" fillId="0" borderId="185" xfId="1028" applyFont="1" applyFill="1" applyBorder="1" applyAlignment="1" applyProtection="1">
      <alignment horizontal="center" vertical="center"/>
      <protection locked="0"/>
    </xf>
    <xf numFmtId="1" fontId="40" fillId="0" borderId="186" xfId="1028" applyNumberFormat="1" applyFont="1" applyFill="1" applyBorder="1" applyAlignment="1" applyProtection="1">
      <alignment horizontal="center" vertical="center"/>
    </xf>
    <xf numFmtId="3" fontId="40" fillId="0" borderId="187" xfId="1028" applyNumberFormat="1" applyFont="1" applyFill="1" applyBorder="1" applyAlignment="1" applyProtection="1">
      <alignment horizontal="center" vertical="center"/>
      <protection hidden="1"/>
    </xf>
    <xf numFmtId="3" fontId="40" fillId="0" borderId="188" xfId="1028" applyNumberFormat="1" applyFont="1" applyFill="1" applyBorder="1" applyAlignment="1" applyProtection="1">
      <alignment horizontal="center" vertical="center"/>
      <protection hidden="1"/>
    </xf>
    <xf numFmtId="1" fontId="40" fillId="0" borderId="189" xfId="1028" applyNumberFormat="1" applyFont="1" applyFill="1" applyBorder="1" applyAlignment="1" applyProtection="1">
      <alignment horizontal="center" vertical="center"/>
    </xf>
    <xf numFmtId="3" fontId="40" fillId="0" borderId="190" xfId="1028" applyNumberFormat="1" applyFont="1" applyFill="1" applyBorder="1" applyAlignment="1" applyProtection="1">
      <alignment horizontal="center" vertical="center"/>
      <protection hidden="1"/>
    </xf>
    <xf numFmtId="0" fontId="65" fillId="27" borderId="55" xfId="1030" applyFont="1" applyFill="1" applyBorder="1" applyAlignment="1" applyProtection="1">
      <alignment horizontal="center" vertical="center" wrapText="1"/>
    </xf>
    <xf numFmtId="1" fontId="3" fillId="27" borderId="13" xfId="1030" applyNumberFormat="1" applyFont="1" applyFill="1" applyBorder="1" applyAlignment="1" applyProtection="1">
      <alignment horizontal="center" vertical="center" wrapText="1"/>
      <protection locked="0"/>
    </xf>
    <xf numFmtId="0" fontId="65" fillId="27" borderId="193" xfId="1030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horizontal="center"/>
    </xf>
    <xf numFmtId="0" fontId="14" fillId="0" borderId="107" xfId="0" applyNumberFormat="1" applyFont="1" applyFill="1" applyBorder="1" applyAlignment="1">
      <alignment horizontal="center" vertical="center"/>
    </xf>
    <xf numFmtId="0" fontId="14" fillId="0" borderId="108" xfId="0" applyFont="1" applyFill="1" applyBorder="1" applyAlignment="1">
      <alignment horizontal="left" vertical="center"/>
    </xf>
    <xf numFmtId="1" fontId="14" fillId="0" borderId="107" xfId="1026" applyNumberFormat="1" applyFont="1" applyFill="1" applyBorder="1" applyAlignment="1">
      <alignment horizontal="center" vertical="center"/>
    </xf>
    <xf numFmtId="1" fontId="14" fillId="0" borderId="107" xfId="0" applyNumberFormat="1" applyFont="1" applyFill="1" applyBorder="1" applyAlignment="1">
      <alignment horizontal="center" vertical="center" wrapText="1"/>
    </xf>
    <xf numFmtId="166" fontId="14" fillId="0" borderId="111" xfId="1040" applyNumberFormat="1" applyFont="1" applyFill="1" applyBorder="1" applyAlignment="1" applyProtection="1">
      <alignment horizontal="center" vertical="center" wrapText="1"/>
    </xf>
    <xf numFmtId="1" fontId="14" fillId="25" borderId="103" xfId="1026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12" fillId="31" borderId="194" xfId="0" applyFont="1" applyFill="1" applyBorder="1"/>
    <xf numFmtId="0" fontId="14" fillId="31" borderId="195" xfId="0" applyNumberFormat="1" applyFont="1" applyFill="1" applyBorder="1" applyAlignment="1">
      <alignment horizontal="center" vertical="center"/>
    </xf>
    <xf numFmtId="0" fontId="14" fillId="31" borderId="195" xfId="0" applyFont="1" applyFill="1" applyBorder="1" applyAlignment="1">
      <alignment horizontal="left" vertical="center"/>
    </xf>
    <xf numFmtId="1" fontId="14" fillId="31" borderId="195" xfId="1026" applyNumberFormat="1" applyFont="1" applyFill="1" applyBorder="1" applyAlignment="1">
      <alignment horizontal="center" vertical="center"/>
    </xf>
    <xf numFmtId="1" fontId="14" fillId="31" borderId="195" xfId="1026" applyNumberFormat="1" applyFont="1" applyFill="1" applyBorder="1" applyAlignment="1">
      <alignment horizontal="center" vertical="center" wrapText="1"/>
    </xf>
    <xf numFmtId="0" fontId="29" fillId="31" borderId="195" xfId="1026" applyFont="1" applyFill="1" applyBorder="1" applyAlignment="1">
      <alignment horizontal="center" vertical="center" wrapText="1"/>
    </xf>
    <xf numFmtId="0" fontId="14" fillId="31" borderId="195" xfId="0" applyFont="1" applyFill="1" applyBorder="1" applyAlignment="1">
      <alignment horizontal="center" vertical="center" wrapText="1"/>
    </xf>
    <xf numFmtId="168" fontId="26" fillId="31" borderId="195" xfId="1026" applyNumberFormat="1" applyFont="1" applyFill="1" applyBorder="1" applyAlignment="1">
      <alignment horizontal="center" vertical="center" wrapText="1"/>
    </xf>
    <xf numFmtId="166" fontId="14" fillId="31" borderId="195" xfId="1040" applyNumberFormat="1" applyFont="1" applyFill="1" applyBorder="1" applyAlignment="1" applyProtection="1">
      <alignment horizontal="center" vertical="center" wrapText="1"/>
    </xf>
    <xf numFmtId="1" fontId="4" fillId="31" borderId="195" xfId="0" applyNumberFormat="1" applyFont="1" applyFill="1" applyBorder="1"/>
    <xf numFmtId="0" fontId="4" fillId="31" borderId="195" xfId="0" applyFont="1" applyFill="1" applyBorder="1"/>
    <xf numFmtId="166" fontId="4" fillId="31" borderId="195" xfId="0" applyNumberFormat="1" applyFont="1" applyFill="1" applyBorder="1"/>
    <xf numFmtId="0" fontId="2" fillId="31" borderId="195" xfId="0" applyFont="1" applyFill="1" applyBorder="1"/>
    <xf numFmtId="0" fontId="4" fillId="31" borderId="196" xfId="0" applyFont="1" applyFill="1" applyBorder="1"/>
    <xf numFmtId="0" fontId="12" fillId="31" borderId="197" xfId="0" applyFont="1" applyFill="1" applyBorder="1"/>
    <xf numFmtId="0" fontId="14" fillId="31" borderId="198" xfId="0" applyNumberFormat="1" applyFont="1" applyFill="1" applyBorder="1" applyAlignment="1">
      <alignment horizontal="center" vertical="center"/>
    </xf>
    <xf numFmtId="0" fontId="14" fillId="31" borderId="198" xfId="0" applyFont="1" applyFill="1" applyBorder="1" applyAlignment="1">
      <alignment horizontal="left" vertical="center"/>
    </xf>
    <xf numFmtId="1" fontId="14" fillId="31" borderId="198" xfId="1026" applyNumberFormat="1" applyFont="1" applyFill="1" applyBorder="1" applyAlignment="1">
      <alignment horizontal="center" vertical="center"/>
    </xf>
    <xf numFmtId="1" fontId="14" fillId="31" borderId="198" xfId="1026" applyNumberFormat="1" applyFont="1" applyFill="1" applyBorder="1" applyAlignment="1">
      <alignment horizontal="center" vertical="center" wrapText="1"/>
    </xf>
    <xf numFmtId="0" fontId="14" fillId="31" borderId="198" xfId="0" applyFont="1" applyFill="1" applyBorder="1" applyAlignment="1">
      <alignment horizontal="center" vertical="center" wrapText="1"/>
    </xf>
    <xf numFmtId="168" fontId="26" fillId="31" borderId="198" xfId="1026" applyNumberFormat="1" applyFont="1" applyFill="1" applyBorder="1" applyAlignment="1">
      <alignment horizontal="center" vertical="center" wrapText="1"/>
    </xf>
    <xf numFmtId="166" fontId="14" fillId="31" borderId="198" xfId="1040" applyNumberFormat="1" applyFont="1" applyFill="1" applyBorder="1" applyAlignment="1" applyProtection="1">
      <alignment horizontal="center" vertical="center" wrapText="1"/>
    </xf>
    <xf numFmtId="0" fontId="4" fillId="31" borderId="198" xfId="0" applyFont="1" applyFill="1" applyBorder="1"/>
    <xf numFmtId="166" fontId="4" fillId="31" borderId="198" xfId="0" applyNumberFormat="1" applyFont="1" applyFill="1" applyBorder="1"/>
    <xf numFmtId="1" fontId="4" fillId="31" borderId="198" xfId="0" applyNumberFormat="1" applyFont="1" applyFill="1" applyBorder="1"/>
    <xf numFmtId="0" fontId="2" fillId="31" borderId="198" xfId="0" applyFont="1" applyFill="1" applyBorder="1"/>
    <xf numFmtId="0" fontId="4" fillId="31" borderId="199" xfId="0" applyFont="1" applyFill="1" applyBorder="1"/>
    <xf numFmtId="0" fontId="12" fillId="31" borderId="200" xfId="0" applyFont="1" applyFill="1" applyBorder="1"/>
    <xf numFmtId="0" fontId="12" fillId="31" borderId="201" xfId="0" applyFont="1" applyFill="1" applyBorder="1"/>
    <xf numFmtId="0" fontId="12" fillId="31" borderId="201" xfId="0" applyFont="1" applyFill="1" applyBorder="1" applyAlignment="1">
      <alignment horizontal="center"/>
    </xf>
    <xf numFmtId="0" fontId="4" fillId="31" borderId="201" xfId="0" applyFont="1" applyFill="1" applyBorder="1"/>
    <xf numFmtId="166" fontId="4" fillId="31" borderId="201" xfId="0" applyNumberFormat="1" applyFont="1" applyFill="1" applyBorder="1"/>
    <xf numFmtId="1" fontId="4" fillId="31" borderId="201" xfId="0" applyNumberFormat="1" applyFont="1" applyFill="1" applyBorder="1"/>
    <xf numFmtId="1" fontId="14" fillId="31" borderId="201" xfId="1040" applyNumberFormat="1" applyFont="1" applyFill="1" applyBorder="1" applyAlignment="1" applyProtection="1">
      <alignment horizontal="center" vertical="center"/>
    </xf>
    <xf numFmtId="0" fontId="2" fillId="31" borderId="201" xfId="0" applyFont="1" applyFill="1" applyBorder="1"/>
    <xf numFmtId="0" fontId="12" fillId="31" borderId="201" xfId="0" applyFont="1" applyFill="1" applyBorder="1" applyAlignment="1">
      <alignment horizontal="center" vertical="center"/>
    </xf>
    <xf numFmtId="168" fontId="12" fillId="31" borderId="201" xfId="0" applyNumberFormat="1" applyFont="1" applyFill="1" applyBorder="1" applyAlignment="1">
      <alignment horizontal="center" vertical="center"/>
    </xf>
    <xf numFmtId="1" fontId="12" fillId="31" borderId="201" xfId="0" applyNumberFormat="1" applyFont="1" applyFill="1" applyBorder="1" applyAlignment="1">
      <alignment horizontal="center" vertical="center"/>
    </xf>
    <xf numFmtId="1" fontId="12" fillId="31" borderId="202" xfId="0" applyNumberFormat="1" applyFont="1" applyFill="1" applyBorder="1" applyAlignment="1">
      <alignment horizontal="center" vertical="center"/>
    </xf>
    <xf numFmtId="1" fontId="28" fillId="31" borderId="195" xfId="0" applyNumberFormat="1" applyFont="1" applyFill="1" applyBorder="1" applyAlignment="1">
      <alignment horizontal="center" vertical="center" wrapText="1"/>
    </xf>
    <xf numFmtId="1" fontId="28" fillId="31" borderId="198" xfId="0" applyNumberFormat="1" applyFont="1" applyFill="1" applyBorder="1" applyAlignment="1">
      <alignment horizontal="center" vertical="center" wrapText="1"/>
    </xf>
    <xf numFmtId="166" fontId="14" fillId="26" borderId="203" xfId="1026" applyNumberFormat="1" applyFont="1" applyFill="1" applyBorder="1" applyAlignment="1">
      <alignment horizontal="center" vertical="center"/>
    </xf>
    <xf numFmtId="0" fontId="23" fillId="0" borderId="206" xfId="1026" applyFont="1" applyFill="1" applyBorder="1" applyAlignment="1">
      <alignment vertical="center" wrapText="1"/>
    </xf>
    <xf numFmtId="1" fontId="12" fillId="0" borderId="0" xfId="0" applyNumberFormat="1" applyFont="1"/>
    <xf numFmtId="0" fontId="40" fillId="0" borderId="208" xfId="1028" applyFont="1" applyFill="1" applyBorder="1" applyAlignment="1" applyProtection="1">
      <alignment horizontal="center" vertical="center"/>
      <protection locked="0"/>
    </xf>
    <xf numFmtId="3" fontId="40" fillId="0" borderId="209" xfId="1028" applyNumberFormat="1" applyFont="1" applyFill="1" applyBorder="1" applyAlignment="1" applyProtection="1">
      <alignment horizontal="center" vertical="center"/>
      <protection hidden="1"/>
    </xf>
    <xf numFmtId="3" fontId="40" fillId="0" borderId="210" xfId="1028" applyNumberFormat="1" applyFont="1" applyFill="1" applyBorder="1" applyAlignment="1" applyProtection="1">
      <alignment horizontal="center" vertical="center"/>
      <protection hidden="1"/>
    </xf>
    <xf numFmtId="3" fontId="40" fillId="0" borderId="211" xfId="1028" applyNumberFormat="1" applyFont="1" applyFill="1" applyBorder="1" applyAlignment="1" applyProtection="1">
      <alignment horizontal="center" vertical="center"/>
    </xf>
    <xf numFmtId="1" fontId="40" fillId="0" borderId="212" xfId="1028" applyNumberFormat="1" applyFont="1" applyFill="1" applyBorder="1" applyAlignment="1" applyProtection="1">
      <alignment horizontal="center" vertical="center"/>
    </xf>
    <xf numFmtId="3" fontId="40" fillId="0" borderId="213" xfId="1028" applyNumberFormat="1" applyFont="1" applyFill="1" applyBorder="1" applyAlignment="1" applyProtection="1">
      <alignment horizontal="center" vertical="center"/>
      <protection hidden="1"/>
    </xf>
    <xf numFmtId="3" fontId="73" fillId="0" borderId="0" xfId="1027" applyNumberFormat="1" applyFont="1" applyFill="1" applyAlignment="1">
      <alignment vertical="center" wrapText="1"/>
    </xf>
    <xf numFmtId="3" fontId="73" fillId="0" borderId="0" xfId="1027" applyNumberFormat="1" applyFont="1" applyFill="1" applyAlignment="1">
      <alignment horizontal="center" vertical="center" wrapText="1"/>
    </xf>
    <xf numFmtId="166" fontId="14" fillId="0" borderId="214" xfId="104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Protection="1">
      <protection locked="0"/>
    </xf>
    <xf numFmtId="0" fontId="14" fillId="0" borderId="215" xfId="0" applyNumberFormat="1" applyFont="1" applyFill="1" applyBorder="1" applyAlignment="1">
      <alignment horizontal="center" vertical="center"/>
    </xf>
    <xf numFmtId="0" fontId="14" fillId="0" borderId="216" xfId="0" applyNumberFormat="1" applyFont="1" applyFill="1" applyBorder="1" applyAlignment="1">
      <alignment horizontal="center" vertical="center"/>
    </xf>
    <xf numFmtId="1" fontId="14" fillId="0" borderId="111" xfId="1026" applyNumberFormat="1" applyFont="1" applyFill="1" applyBorder="1" applyAlignment="1">
      <alignment horizontal="center" vertical="center" wrapText="1"/>
    </xf>
    <xf numFmtId="1" fontId="14" fillId="0" borderId="217" xfId="1026" applyNumberFormat="1" applyFont="1" applyFill="1" applyBorder="1" applyAlignment="1">
      <alignment horizontal="center" vertical="center" wrapText="1"/>
    </xf>
    <xf numFmtId="0" fontId="14" fillId="0" borderId="218" xfId="0" applyFont="1" applyFill="1" applyBorder="1" applyAlignment="1">
      <alignment horizontal="center" vertical="center" wrapText="1"/>
    </xf>
    <xf numFmtId="168" fontId="26" fillId="0" borderId="218" xfId="1026" applyNumberFormat="1" applyFont="1" applyFill="1" applyBorder="1" applyAlignment="1">
      <alignment horizontal="center" vertical="center" wrapText="1"/>
    </xf>
    <xf numFmtId="1" fontId="14" fillId="0" borderId="218" xfId="1026" applyNumberFormat="1" applyFont="1" applyFill="1" applyBorder="1" applyAlignment="1">
      <alignment horizontal="center" vertical="center" wrapText="1"/>
    </xf>
    <xf numFmtId="0" fontId="14" fillId="0" borderId="218" xfId="1026" applyFont="1" applyFill="1" applyBorder="1" applyAlignment="1">
      <alignment horizontal="center" vertical="center"/>
    </xf>
    <xf numFmtId="0" fontId="14" fillId="0" borderId="219" xfId="1026" applyFont="1" applyFill="1" applyBorder="1" applyAlignment="1">
      <alignment horizontal="center" vertical="center"/>
    </xf>
    <xf numFmtId="0" fontId="23" fillId="0" borderId="220" xfId="1026" applyFont="1" applyFill="1" applyBorder="1" applyAlignment="1">
      <alignment vertical="center" wrapText="1"/>
    </xf>
    <xf numFmtId="1" fontId="14" fillId="0" borderId="221" xfId="1040" applyNumberFormat="1" applyFont="1" applyFill="1" applyBorder="1" applyAlignment="1" applyProtection="1">
      <alignment horizontal="center" vertical="center"/>
    </xf>
    <xf numFmtId="1" fontId="14" fillId="0" borderId="222" xfId="1040" applyNumberFormat="1" applyFont="1" applyFill="1" applyBorder="1" applyAlignment="1" applyProtection="1">
      <alignment horizontal="center" vertical="center"/>
    </xf>
    <xf numFmtId="1" fontId="14" fillId="0" borderId="223" xfId="1040" applyNumberFormat="1" applyFont="1" applyFill="1" applyBorder="1" applyAlignment="1" applyProtection="1">
      <alignment horizontal="center" vertical="center"/>
    </xf>
    <xf numFmtId="1" fontId="14" fillId="26" borderId="224" xfId="1026" applyNumberFormat="1" applyFont="1" applyFill="1" applyBorder="1" applyAlignment="1">
      <alignment horizontal="center" vertical="center"/>
    </xf>
    <xf numFmtId="1" fontId="14" fillId="25" borderId="220" xfId="1026" applyNumberFormat="1" applyFont="1" applyFill="1" applyBorder="1" applyAlignment="1">
      <alignment horizontal="center" vertical="center"/>
    </xf>
    <xf numFmtId="0" fontId="15" fillId="25" borderId="11" xfId="1026" applyFont="1" applyFill="1" applyBorder="1" applyAlignment="1">
      <alignment horizontal="center" vertical="center" wrapText="1"/>
    </xf>
    <xf numFmtId="0" fontId="105" fillId="25" borderId="11" xfId="1026" applyFont="1" applyFill="1" applyBorder="1" applyAlignment="1">
      <alignment horizontal="center" vertical="center" wrapText="1"/>
    </xf>
    <xf numFmtId="0" fontId="105" fillId="25" borderId="17" xfId="1026" applyFont="1" applyFill="1" applyBorder="1" applyAlignment="1">
      <alignment horizontal="center" vertical="center" wrapText="1"/>
    </xf>
    <xf numFmtId="0" fontId="15" fillId="25" borderId="15" xfId="1026" applyFont="1" applyFill="1" applyBorder="1" applyAlignment="1">
      <alignment horizontal="center" vertical="center" wrapText="1"/>
    </xf>
    <xf numFmtId="0" fontId="105" fillId="25" borderId="103" xfId="1026" applyFont="1" applyFill="1" applyBorder="1" applyAlignment="1">
      <alignment horizontal="center" vertical="center" wrapText="1"/>
    </xf>
    <xf numFmtId="0" fontId="105" fillId="25" borderId="10" xfId="1026" applyFont="1" applyFill="1" applyBorder="1" applyAlignment="1">
      <alignment horizontal="center" vertical="center" wrapText="1"/>
    </xf>
    <xf numFmtId="0" fontId="15" fillId="25" borderId="10" xfId="1026" applyFont="1" applyFill="1" applyBorder="1" applyAlignment="1">
      <alignment horizontal="center" vertical="center" wrapText="1"/>
    </xf>
    <xf numFmtId="1" fontId="14" fillId="0" borderId="225" xfId="1040" applyNumberFormat="1" applyFont="1" applyFill="1" applyBorder="1" applyAlignment="1" applyProtection="1">
      <alignment horizontal="center" vertical="center"/>
    </xf>
    <xf numFmtId="166" fontId="14" fillId="0" borderId="226" xfId="1040" applyNumberFormat="1" applyFont="1" applyFill="1" applyBorder="1" applyAlignment="1" applyProtection="1">
      <alignment horizontal="center" vertical="center" wrapText="1"/>
    </xf>
    <xf numFmtId="166" fontId="14" fillId="26" borderId="224" xfId="1026" applyNumberFormat="1" applyFont="1" applyFill="1" applyBorder="1" applyAlignment="1">
      <alignment horizontal="center" vertical="center"/>
    </xf>
    <xf numFmtId="166" fontId="14" fillId="25" borderId="220" xfId="1026" applyNumberFormat="1" applyFont="1" applyFill="1" applyBorder="1" applyAlignment="1">
      <alignment horizontal="center" vertical="center"/>
    </xf>
    <xf numFmtId="1" fontId="12" fillId="0" borderId="84" xfId="1026" applyNumberFormat="1" applyFont="1" applyFill="1" applyBorder="1" applyAlignment="1">
      <alignment horizontal="center" vertical="center" wrapText="1"/>
    </xf>
    <xf numFmtId="166" fontId="12" fillId="0" borderId="227" xfId="1026" applyNumberFormat="1" applyFont="1" applyFill="1" applyBorder="1" applyAlignment="1">
      <alignment horizontal="center" vertical="center" wrapText="1"/>
    </xf>
    <xf numFmtId="0" fontId="1" fillId="0" borderId="220" xfId="0" applyFont="1" applyBorder="1" applyAlignment="1"/>
    <xf numFmtId="166" fontId="14" fillId="0" borderId="228" xfId="1040" applyNumberFormat="1" applyFont="1" applyFill="1" applyBorder="1" applyAlignment="1" applyProtection="1">
      <alignment horizontal="center" vertical="center" wrapText="1"/>
    </xf>
    <xf numFmtId="166" fontId="14" fillId="0" borderId="228" xfId="1040" applyNumberFormat="1" applyFont="1" applyFill="1" applyBorder="1" applyAlignment="1" applyProtection="1">
      <alignment horizontal="center" vertical="center"/>
    </xf>
    <xf numFmtId="166" fontId="14" fillId="26" borderId="229" xfId="1026" applyNumberFormat="1" applyFont="1" applyFill="1" applyBorder="1" applyAlignment="1">
      <alignment horizontal="center" vertical="center"/>
    </xf>
    <xf numFmtId="166" fontId="14" fillId="25" borderId="230" xfId="1026" applyNumberFormat="1" applyFont="1" applyFill="1" applyBorder="1" applyAlignment="1">
      <alignment horizontal="center" vertical="center"/>
    </xf>
    <xf numFmtId="0" fontId="23" fillId="0" borderId="231" xfId="1026" applyFont="1" applyFill="1" applyBorder="1" applyAlignment="1">
      <alignment vertical="center" wrapText="1"/>
    </xf>
    <xf numFmtId="166" fontId="14" fillId="0" borderId="221" xfId="1026" applyNumberFormat="1" applyFont="1" applyFill="1" applyBorder="1" applyAlignment="1">
      <alignment horizontal="center" vertical="center" wrapText="1"/>
    </xf>
    <xf numFmtId="166" fontId="14" fillId="0" borderId="228" xfId="1026" applyNumberFormat="1" applyFont="1" applyFill="1" applyBorder="1" applyAlignment="1">
      <alignment horizontal="center" vertical="center" wrapText="1"/>
    </xf>
    <xf numFmtId="166" fontId="14" fillId="0" borderId="221" xfId="1040" applyNumberFormat="1" applyFont="1" applyFill="1" applyBorder="1" applyAlignment="1" applyProtection="1">
      <alignment horizontal="center" vertical="center" wrapText="1"/>
    </xf>
    <xf numFmtId="166" fontId="14" fillId="25" borderId="228" xfId="1040" applyNumberFormat="1" applyFont="1" applyFill="1" applyBorder="1" applyAlignment="1" applyProtection="1">
      <alignment horizontal="center" vertical="center" wrapText="1"/>
    </xf>
    <xf numFmtId="166" fontId="14" fillId="0" borderId="232" xfId="1026" applyNumberFormat="1" applyFont="1" applyFill="1" applyBorder="1" applyAlignment="1">
      <alignment horizontal="center" vertical="center"/>
    </xf>
    <xf numFmtId="166" fontId="4" fillId="0" borderId="233" xfId="0" applyNumberFormat="1" applyFont="1" applyBorder="1"/>
    <xf numFmtId="166" fontId="14" fillId="0" borderId="234" xfId="1040" applyNumberFormat="1" applyFont="1" applyFill="1" applyBorder="1" applyAlignment="1" applyProtection="1">
      <alignment horizontal="center" vertical="center" wrapText="1"/>
    </xf>
    <xf numFmtId="166" fontId="14" fillId="0" borderId="221" xfId="1040" applyNumberFormat="1" applyFont="1" applyFill="1" applyBorder="1" applyAlignment="1" applyProtection="1">
      <alignment horizontal="center" vertical="center"/>
    </xf>
    <xf numFmtId="1" fontId="14" fillId="0" borderId="89" xfId="1026" applyNumberFormat="1" applyFont="1" applyFill="1" applyBorder="1" applyAlignment="1">
      <alignment horizontal="center" vertical="center"/>
    </xf>
    <xf numFmtId="1" fontId="14" fillId="0" borderId="153" xfId="1026" applyNumberFormat="1" applyFont="1" applyFill="1" applyBorder="1" applyAlignment="1">
      <alignment horizontal="center" vertical="center"/>
    </xf>
    <xf numFmtId="1" fontId="14" fillId="0" borderId="26" xfId="1040" applyNumberFormat="1" applyFont="1" applyFill="1" applyBorder="1" applyAlignment="1" applyProtection="1">
      <alignment horizontal="center" vertical="center"/>
    </xf>
    <xf numFmtId="166" fontId="14" fillId="0" borderId="26" xfId="1026" applyNumberFormat="1" applyFont="1" applyFill="1" applyBorder="1" applyAlignment="1">
      <alignment horizontal="center" vertical="center"/>
    </xf>
    <xf numFmtId="166" fontId="14" fillId="0" borderId="235" xfId="1026" applyNumberFormat="1" applyFont="1" applyFill="1" applyBorder="1" applyAlignment="1">
      <alignment horizontal="center" vertical="center"/>
    </xf>
    <xf numFmtId="166" fontId="14" fillId="0" borderId="236" xfId="1040" applyNumberFormat="1" applyFont="1" applyFill="1" applyBorder="1" applyAlignment="1" applyProtection="1">
      <alignment horizontal="center" vertical="center" wrapText="1"/>
    </xf>
    <xf numFmtId="0" fontId="14" fillId="0" borderId="237" xfId="1026" applyFont="1" applyFill="1" applyBorder="1" applyAlignment="1">
      <alignment horizontal="center" vertical="center"/>
    </xf>
    <xf numFmtId="168" fontId="26" fillId="0" borderId="25" xfId="1025" applyNumberFormat="1" applyFont="1" applyFill="1" applyBorder="1" applyAlignment="1">
      <alignment horizontal="center" vertical="center"/>
    </xf>
    <xf numFmtId="1" fontId="14" fillId="0" borderId="32" xfId="1026" applyNumberFormat="1" applyFont="1" applyFill="1" applyBorder="1" applyAlignment="1">
      <alignment horizontal="center" vertical="center" wrapText="1"/>
    </xf>
    <xf numFmtId="168" fontId="27" fillId="0" borderId="57" xfId="1026" applyNumberFormat="1" applyFont="1" applyFill="1" applyBorder="1" applyAlignment="1">
      <alignment horizontal="center" vertical="center" wrapText="1"/>
    </xf>
    <xf numFmtId="166" fontId="14" fillId="0" borderId="54" xfId="1040" applyNumberFormat="1" applyFont="1" applyFill="1" applyBorder="1" applyAlignment="1" applyProtection="1">
      <alignment horizontal="center" vertical="center"/>
    </xf>
    <xf numFmtId="166" fontId="14" fillId="0" borderId="14" xfId="1040" applyNumberFormat="1" applyFont="1" applyFill="1" applyBorder="1" applyAlignment="1" applyProtection="1">
      <alignment horizontal="center" vertical="center"/>
    </xf>
    <xf numFmtId="1" fontId="14" fillId="0" borderId="115" xfId="1026" applyNumberFormat="1" applyFont="1" applyFill="1" applyBorder="1" applyAlignment="1">
      <alignment horizontal="center" vertical="center" wrapText="1"/>
    </xf>
    <xf numFmtId="0" fontId="12" fillId="0" borderId="52" xfId="0" applyFont="1" applyFill="1" applyBorder="1" applyAlignment="1">
      <alignment horizontal="center" vertical="center" wrapText="1"/>
    </xf>
    <xf numFmtId="0" fontId="23" fillId="0" borderId="206" xfId="1026" applyFont="1" applyFill="1" applyBorder="1" applyAlignment="1">
      <alignment horizontal="center" vertical="center" wrapText="1"/>
    </xf>
    <xf numFmtId="0" fontId="4" fillId="0" borderId="206" xfId="0" applyFont="1" applyBorder="1"/>
    <xf numFmtId="0" fontId="4" fillId="0" borderId="238" xfId="0" applyFont="1" applyBorder="1"/>
    <xf numFmtId="0" fontId="4" fillId="0" borderId="238" xfId="0" applyFont="1" applyFill="1" applyBorder="1"/>
    <xf numFmtId="0" fontId="4" fillId="0" borderId="206" xfId="0" applyFont="1" applyFill="1" applyBorder="1"/>
    <xf numFmtId="0" fontId="1" fillId="0" borderId="206" xfId="0" applyFont="1" applyBorder="1"/>
    <xf numFmtId="0" fontId="1" fillId="0" borderId="239" xfId="0" applyFont="1" applyBorder="1"/>
    <xf numFmtId="0" fontId="12" fillId="0" borderId="240" xfId="0" applyFont="1" applyFill="1" applyBorder="1" applyAlignment="1">
      <alignment horizontal="center" vertical="center"/>
    </xf>
    <xf numFmtId="0" fontId="12" fillId="0" borderId="206" xfId="0" applyFont="1" applyFill="1" applyBorder="1" applyAlignment="1">
      <alignment horizontal="center" vertical="center"/>
    </xf>
    <xf numFmtId="0" fontId="12" fillId="0" borderId="239" xfId="0" applyFont="1" applyFill="1" applyBorder="1" applyAlignment="1">
      <alignment horizontal="center" vertical="center"/>
    </xf>
    <xf numFmtId="0" fontId="1" fillId="0" borderId="240" xfId="0" applyFont="1" applyBorder="1"/>
    <xf numFmtId="0" fontId="1" fillId="0" borderId="241" xfId="0" applyFont="1" applyBorder="1"/>
    <xf numFmtId="1" fontId="65" fillId="27" borderId="47" xfId="1030" applyNumberFormat="1" applyFont="1" applyFill="1" applyBorder="1" applyAlignment="1" applyProtection="1">
      <alignment horizontal="center" vertical="center" wrapText="1"/>
    </xf>
    <xf numFmtId="1" fontId="65" fillId="29" borderId="47" xfId="1030" applyNumberFormat="1" applyFont="1" applyFill="1" applyBorder="1" applyAlignment="1" applyProtection="1">
      <alignment horizontal="center" vertical="center" wrapText="1"/>
    </xf>
    <xf numFmtId="1" fontId="65" fillId="25" borderId="47" xfId="1030" applyNumberFormat="1" applyFont="1" applyFill="1" applyBorder="1" applyAlignment="1" applyProtection="1">
      <alignment horizontal="center" vertical="center" wrapText="1"/>
    </xf>
    <xf numFmtId="3" fontId="56" fillId="0" borderId="47" xfId="1027" applyNumberFormat="1" applyFont="1" applyFill="1" applyBorder="1" applyAlignment="1">
      <alignment horizontal="center" vertical="center" wrapText="1"/>
    </xf>
    <xf numFmtId="3" fontId="55" fillId="0" borderId="242" xfId="1027" applyNumberFormat="1" applyFont="1" applyFill="1" applyBorder="1" applyAlignment="1">
      <alignment vertical="center" wrapText="1"/>
    </xf>
    <xf numFmtId="0" fontId="55" fillId="0" borderId="242" xfId="1027" applyFont="1" applyFill="1" applyBorder="1" applyAlignment="1">
      <alignment vertical="center" wrapText="1"/>
    </xf>
    <xf numFmtId="3" fontId="106" fillId="32" borderId="243" xfId="1030" applyNumberFormat="1" applyFont="1" applyFill="1" applyBorder="1" applyAlignment="1" applyProtection="1">
      <alignment horizontal="center" vertical="center" wrapText="1"/>
    </xf>
    <xf numFmtId="1" fontId="107" fillId="32" borderId="243" xfId="1030" applyNumberFormat="1" applyFont="1" applyFill="1" applyBorder="1" applyAlignment="1" applyProtection="1">
      <alignment horizontal="center" vertical="center" wrapText="1"/>
      <protection locked="0"/>
    </xf>
    <xf numFmtId="1" fontId="74" fillId="0" borderId="0" xfId="1027" applyNumberFormat="1" applyFont="1" applyFill="1" applyAlignment="1">
      <alignment horizontal="center" vertical="center" wrapText="1"/>
    </xf>
    <xf numFmtId="1" fontId="1" fillId="0" borderId="0" xfId="0" applyNumberFormat="1" applyFont="1"/>
    <xf numFmtId="3" fontId="40" fillId="0" borderId="0" xfId="1028" applyNumberFormat="1" applyFont="1" applyFill="1" applyBorder="1" applyAlignment="1" applyProtection="1">
      <alignment horizontal="center" vertical="center"/>
    </xf>
    <xf numFmtId="3" fontId="40" fillId="0" borderId="168" xfId="1028" applyNumberFormat="1" applyFont="1" applyFill="1" applyBorder="1" applyAlignment="1" applyProtection="1">
      <alignment horizontal="center" vertical="center"/>
    </xf>
    <xf numFmtId="3" fontId="40" fillId="0" borderId="246" xfId="1028" applyNumberFormat="1" applyFont="1" applyFill="1" applyBorder="1" applyAlignment="1" applyProtection="1">
      <alignment horizontal="center" vertical="center"/>
      <protection hidden="1"/>
    </xf>
    <xf numFmtId="1" fontId="40" fillId="0" borderId="247" xfId="1028" applyNumberFormat="1" applyFont="1" applyFill="1" applyBorder="1" applyAlignment="1" applyProtection="1">
      <alignment horizontal="center" vertical="center"/>
      <protection hidden="1"/>
    </xf>
    <xf numFmtId="168" fontId="56" fillId="0" borderId="33" xfId="1027" applyNumberFormat="1" applyFont="1" applyFill="1" applyBorder="1" applyAlignment="1">
      <alignment horizontal="center" vertical="center" wrapText="1"/>
    </xf>
    <xf numFmtId="168" fontId="3" fillId="0" borderId="33" xfId="1030" applyNumberFormat="1" applyFont="1" applyFill="1" applyBorder="1" applyAlignment="1" applyProtection="1">
      <alignment horizontal="center" vertical="center" wrapText="1"/>
      <protection locked="0"/>
    </xf>
    <xf numFmtId="174" fontId="1" fillId="0" borderId="0" xfId="0" applyNumberFormat="1" applyFont="1" applyFill="1" applyProtection="1">
      <protection locked="0"/>
    </xf>
    <xf numFmtId="3" fontId="45" fillId="0" borderId="248" xfId="1028" applyNumberFormat="1" applyFont="1" applyFill="1" applyBorder="1" applyAlignment="1" applyProtection="1">
      <alignment horizontal="center" vertical="center"/>
    </xf>
    <xf numFmtId="0" fontId="1" fillId="0" borderId="59" xfId="0" applyFont="1" applyFill="1" applyBorder="1" applyAlignment="1" applyProtection="1">
      <alignment vertical="center"/>
      <protection locked="0"/>
    </xf>
    <xf numFmtId="0" fontId="45" fillId="0" borderId="249" xfId="1028" applyFont="1" applyFill="1" applyBorder="1" applyAlignment="1" applyProtection="1">
      <alignment horizontal="center" vertical="center"/>
      <protection locked="0"/>
    </xf>
    <xf numFmtId="0" fontId="45" fillId="0" borderId="250" xfId="1028" applyFont="1" applyFill="1" applyBorder="1" applyAlignment="1" applyProtection="1">
      <alignment horizontal="center" vertical="center"/>
      <protection locked="0"/>
    </xf>
    <xf numFmtId="174" fontId="53" fillId="0" borderId="0" xfId="0" applyNumberFormat="1" applyFont="1" applyFill="1" applyAlignment="1" applyProtection="1">
      <alignment horizontal="center"/>
      <protection locked="0"/>
    </xf>
    <xf numFmtId="168" fontId="14" fillId="26" borderId="193" xfId="1026" applyNumberFormat="1" applyFont="1" applyFill="1" applyBorder="1" applyAlignment="1">
      <alignment horizontal="center" vertical="center"/>
    </xf>
    <xf numFmtId="1" fontId="14" fillId="25" borderId="14" xfId="1026" applyNumberFormat="1" applyFont="1" applyFill="1" applyBorder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9" fontId="108" fillId="0" borderId="0" xfId="1035" applyFill="1" applyAlignment="1" applyProtection="1">
      <alignment vertical="center"/>
      <protection locked="0"/>
    </xf>
    <xf numFmtId="0" fontId="65" fillId="0" borderId="0" xfId="1030" applyFont="1" applyFill="1" applyBorder="1" applyAlignment="1" applyProtection="1">
      <alignment horizontal="left" vertical="center" wrapText="1"/>
    </xf>
    <xf numFmtId="169" fontId="108" fillId="0" borderId="0" xfId="1039" applyFill="1" applyAlignment="1" applyProtection="1">
      <alignment vertical="center"/>
      <protection locked="0"/>
    </xf>
    <xf numFmtId="3" fontId="40" fillId="34" borderId="33" xfId="1028" applyNumberFormat="1" applyFont="1" applyFill="1" applyBorder="1" applyAlignment="1" applyProtection="1">
      <alignment horizontal="center" vertical="center"/>
      <protection hidden="1"/>
    </xf>
    <xf numFmtId="3" fontId="43" fillId="0" borderId="160" xfId="1028" applyNumberFormat="1" applyFont="1" applyFill="1" applyBorder="1" applyAlignment="1" applyProtection="1">
      <alignment horizontal="center" vertical="center"/>
    </xf>
    <xf numFmtId="3" fontId="43" fillId="0" borderId="43" xfId="1028" applyNumberFormat="1" applyFont="1" applyFill="1" applyBorder="1" applyAlignment="1" applyProtection="1">
      <alignment horizontal="center" vertical="center"/>
    </xf>
    <xf numFmtId="1" fontId="40" fillId="0" borderId="153" xfId="1028" applyNumberFormat="1" applyFont="1" applyFill="1" applyBorder="1" applyAlignment="1" applyProtection="1">
      <alignment horizontal="center" vertical="center"/>
    </xf>
    <xf numFmtId="3" fontId="45" fillId="0" borderId="251" xfId="1028" applyNumberFormat="1" applyFont="1" applyFill="1" applyBorder="1" applyAlignment="1" applyProtection="1">
      <alignment horizontal="center" vertical="center"/>
      <protection locked="0"/>
    </xf>
    <xf numFmtId="3" fontId="45" fillId="0" borderId="244" xfId="1028" applyNumberFormat="1" applyFont="1" applyFill="1" applyBorder="1" applyAlignment="1" applyProtection="1">
      <alignment horizontal="center" vertical="center"/>
      <protection locked="0"/>
    </xf>
    <xf numFmtId="1" fontId="45" fillId="0" borderId="245" xfId="1028" applyNumberFormat="1" applyFont="1" applyFill="1" applyBorder="1" applyAlignment="1" applyProtection="1">
      <alignment horizontal="center" vertical="center"/>
      <protection locked="0"/>
    </xf>
    <xf numFmtId="3" fontId="45" fillId="0" borderId="252" xfId="1028" applyNumberFormat="1" applyFont="1" applyFill="1" applyBorder="1" applyAlignment="1" applyProtection="1">
      <alignment horizontal="center" vertical="center"/>
      <protection locked="0"/>
    </xf>
    <xf numFmtId="1" fontId="45" fillId="0" borderId="253" xfId="1031" applyNumberFormat="1" applyFont="1" applyFill="1" applyBorder="1" applyAlignment="1" applyProtection="1">
      <alignment horizontal="center" vertical="center"/>
      <protection locked="0"/>
    </xf>
    <xf numFmtId="3" fontId="45" fillId="0" borderId="254" xfId="1028" applyNumberFormat="1" applyFont="1" applyFill="1" applyBorder="1" applyAlignment="1" applyProtection="1">
      <alignment horizontal="center" vertical="center"/>
      <protection locked="0"/>
    </xf>
    <xf numFmtId="1" fontId="45" fillId="0" borderId="255" xfId="1031" applyNumberFormat="1" applyFont="1" applyFill="1" applyBorder="1" applyAlignment="1" applyProtection="1">
      <alignment horizontal="center" vertical="center"/>
      <protection locked="0"/>
    </xf>
    <xf numFmtId="3" fontId="45" fillId="0" borderId="256" xfId="1028" applyNumberFormat="1" applyFont="1" applyFill="1" applyBorder="1" applyAlignment="1" applyProtection="1">
      <alignment horizontal="center" vertical="center"/>
      <protection locked="0"/>
    </xf>
    <xf numFmtId="1" fontId="45" fillId="0" borderId="257" xfId="1031" applyNumberFormat="1" applyFont="1" applyFill="1" applyBorder="1" applyAlignment="1" applyProtection="1">
      <alignment horizontal="center" vertical="center"/>
      <protection locked="0"/>
    </xf>
    <xf numFmtId="1" fontId="40" fillId="0" borderId="258" xfId="1028" applyNumberFormat="1" applyFont="1" applyFill="1" applyBorder="1" applyAlignment="1" applyProtection="1">
      <alignment horizontal="center" vertical="center"/>
      <protection locked="0"/>
    </xf>
    <xf numFmtId="1" fontId="40" fillId="0" borderId="259" xfId="1028" applyNumberFormat="1" applyFont="1" applyFill="1" applyBorder="1" applyAlignment="1" applyProtection="1">
      <alignment horizontal="center" vertical="center"/>
      <protection locked="0"/>
    </xf>
    <xf numFmtId="1" fontId="40" fillId="0" borderId="260" xfId="1031" applyNumberFormat="1" applyFont="1" applyFill="1" applyBorder="1" applyAlignment="1" applyProtection="1">
      <alignment horizontal="center" vertical="center"/>
      <protection locked="0"/>
    </xf>
    <xf numFmtId="1" fontId="40" fillId="0" borderId="253" xfId="1031" applyNumberFormat="1" applyFont="1" applyFill="1" applyBorder="1" applyAlignment="1" applyProtection="1">
      <alignment horizontal="center" vertical="center"/>
      <protection locked="0"/>
    </xf>
    <xf numFmtId="3" fontId="40" fillId="0" borderId="254" xfId="1028" applyNumberFormat="1" applyFont="1" applyFill="1" applyBorder="1" applyAlignment="1" applyProtection="1">
      <alignment horizontal="center" vertical="center"/>
      <protection locked="0"/>
    </xf>
    <xf numFmtId="1" fontId="40" fillId="0" borderId="255" xfId="1031" applyNumberFormat="1" applyFont="1" applyFill="1" applyBorder="1" applyAlignment="1" applyProtection="1">
      <alignment horizontal="center" vertical="center"/>
      <protection locked="0"/>
    </xf>
    <xf numFmtId="1" fontId="40" fillId="0" borderId="261" xfId="1031" applyNumberFormat="1" applyFont="1" applyFill="1" applyBorder="1" applyAlignment="1" applyProtection="1">
      <alignment horizontal="center" vertical="center"/>
      <protection locked="0"/>
    </xf>
    <xf numFmtId="1" fontId="40" fillId="0" borderId="257" xfId="1031" applyNumberFormat="1" applyFont="1" applyFill="1" applyBorder="1" applyAlignment="1" applyProtection="1">
      <alignment horizontal="center" vertical="center"/>
      <protection locked="0"/>
    </xf>
    <xf numFmtId="1" fontId="40" fillId="0" borderId="262" xfId="1031" applyNumberFormat="1" applyFont="1" applyFill="1" applyBorder="1" applyAlignment="1" applyProtection="1">
      <alignment horizontal="center" vertical="center"/>
      <protection locked="0"/>
    </xf>
    <xf numFmtId="0" fontId="23" fillId="0" borderId="38" xfId="1026" applyFont="1" applyFill="1" applyBorder="1" applyAlignment="1">
      <alignment horizontal="left" vertical="center" wrapText="1"/>
    </xf>
    <xf numFmtId="0" fontId="23" fillId="0" borderId="17" xfId="1026" applyFont="1" applyFill="1" applyBorder="1" applyAlignment="1">
      <alignment vertical="center" wrapText="1"/>
    </xf>
    <xf numFmtId="167" fontId="64" fillId="27" borderId="11" xfId="1030" applyNumberFormat="1" applyFont="1" applyFill="1" applyBorder="1" applyAlignment="1" applyProtection="1">
      <alignment horizontal="center" vertical="center"/>
      <protection locked="0"/>
    </xf>
    <xf numFmtId="3" fontId="40" fillId="0" borderId="57" xfId="1028" applyNumberFormat="1" applyFont="1" applyFill="1" applyBorder="1" applyAlignment="1" applyProtection="1">
      <alignment horizontal="center" vertical="center"/>
    </xf>
    <xf numFmtId="3" fontId="40" fillId="0" borderId="44" xfId="1028" applyNumberFormat="1" applyFont="1" applyFill="1" applyBorder="1" applyAlignment="1" applyProtection="1">
      <alignment horizontal="center" vertical="center"/>
    </xf>
    <xf numFmtId="3" fontId="40" fillId="0" borderId="33" xfId="1028" applyNumberFormat="1" applyFont="1" applyFill="1" applyBorder="1" applyAlignment="1" applyProtection="1">
      <alignment horizontal="center" vertical="center"/>
    </xf>
    <xf numFmtId="0" fontId="40" fillId="0" borderId="273" xfId="1028" applyFont="1" applyFill="1" applyBorder="1" applyAlignment="1" applyProtection="1">
      <alignment horizontal="center" vertical="center"/>
      <protection locked="0"/>
    </xf>
    <xf numFmtId="1" fontId="45" fillId="0" borderId="274" xfId="1028" applyNumberFormat="1" applyFont="1" applyFill="1" applyBorder="1" applyAlignment="1" applyProtection="1">
      <alignment horizontal="center" vertical="center"/>
      <protection locked="0"/>
    </xf>
    <xf numFmtId="3" fontId="45" fillId="0" borderId="248" xfId="1028" applyNumberFormat="1" applyFont="1" applyFill="1" applyBorder="1" applyAlignment="1" applyProtection="1">
      <alignment horizontal="center" vertical="center"/>
      <protection locked="0"/>
    </xf>
    <xf numFmtId="0" fontId="40" fillId="0" borderId="207" xfId="1028" applyFont="1" applyFill="1" applyBorder="1" applyAlignment="1" applyProtection="1">
      <alignment horizontal="center" vertical="center"/>
      <protection locked="0"/>
    </xf>
    <xf numFmtId="1" fontId="45" fillId="0" borderId="278" xfId="1031" applyNumberFormat="1" applyFont="1" applyFill="1" applyBorder="1" applyAlignment="1" applyProtection="1">
      <alignment horizontal="center" vertical="center"/>
      <protection locked="0"/>
    </xf>
    <xf numFmtId="3" fontId="45" fillId="0" borderId="204" xfId="1031" applyNumberFormat="1" applyFont="1" applyFill="1" applyBorder="1" applyAlignment="1" applyProtection="1">
      <alignment horizontal="center" vertical="center"/>
      <protection locked="0"/>
    </xf>
    <xf numFmtId="3" fontId="45" fillId="0" borderId="279" xfId="1031" applyNumberFormat="1" applyFont="1" applyFill="1" applyBorder="1" applyAlignment="1" applyProtection="1">
      <alignment horizontal="center" vertical="center"/>
      <protection locked="0"/>
    </xf>
    <xf numFmtId="1" fontId="45" fillId="0" borderId="247" xfId="1031" applyNumberFormat="1" applyFont="1" applyFill="1" applyBorder="1" applyAlignment="1" applyProtection="1">
      <alignment horizontal="center" vertical="center"/>
      <protection locked="0"/>
    </xf>
    <xf numFmtId="1" fontId="110" fillId="0" borderId="146" xfId="1028" applyNumberFormat="1" applyFont="1" applyFill="1" applyBorder="1" applyAlignment="1" applyProtection="1">
      <alignment horizontal="center" vertical="center"/>
      <protection locked="0"/>
    </xf>
    <xf numFmtId="3" fontId="110" fillId="0" borderId="147" xfId="1028" applyNumberFormat="1" applyFont="1" applyFill="1" applyBorder="1" applyAlignment="1" applyProtection="1">
      <alignment horizontal="center" vertical="center"/>
      <protection locked="0"/>
    </xf>
    <xf numFmtId="3" fontId="110" fillId="0" borderId="148" xfId="1028" applyNumberFormat="1" applyFont="1" applyFill="1" applyBorder="1" applyAlignment="1" applyProtection="1">
      <alignment horizontal="center" vertical="center"/>
      <protection locked="0"/>
    </xf>
    <xf numFmtId="1" fontId="110" fillId="0" borderId="149" xfId="1028" applyNumberFormat="1" applyFont="1" applyFill="1" applyBorder="1" applyAlignment="1" applyProtection="1">
      <alignment horizontal="center" vertical="center"/>
      <protection locked="0"/>
    </xf>
    <xf numFmtId="1" fontId="110" fillId="0" borderId="150" xfId="1031" applyNumberFormat="1" applyFont="1" applyFill="1" applyBorder="1" applyAlignment="1" applyProtection="1">
      <alignment horizontal="center" vertical="center"/>
      <protection locked="0"/>
    </xf>
    <xf numFmtId="3" fontId="110" fillId="0" borderId="30" xfId="1028" applyNumberFormat="1" applyFont="1" applyFill="1" applyBorder="1" applyAlignment="1" applyProtection="1">
      <alignment horizontal="center" vertical="center"/>
      <protection locked="0"/>
    </xf>
    <xf numFmtId="3" fontId="110" fillId="0" borderId="30" xfId="1031" applyNumberFormat="1" applyFont="1" applyFill="1" applyBorder="1" applyAlignment="1" applyProtection="1">
      <alignment horizontal="center" vertical="center"/>
      <protection locked="0"/>
    </xf>
    <xf numFmtId="3" fontId="110" fillId="0" borderId="29" xfId="1031" applyNumberFormat="1" applyFont="1" applyFill="1" applyBorder="1" applyAlignment="1" applyProtection="1">
      <alignment horizontal="center" vertical="center"/>
      <protection locked="0"/>
    </xf>
    <xf numFmtId="1" fontId="110" fillId="0" borderId="36" xfId="1031" applyNumberFormat="1" applyFont="1" applyFill="1" applyBorder="1" applyAlignment="1" applyProtection="1">
      <alignment horizontal="center" vertical="center"/>
      <protection locked="0"/>
    </xf>
    <xf numFmtId="1" fontId="110" fillId="0" borderId="161" xfId="1031" applyNumberFormat="1" applyFont="1" applyFill="1" applyBorder="1" applyAlignment="1" applyProtection="1">
      <alignment horizontal="center" vertical="center"/>
      <protection locked="0"/>
    </xf>
    <xf numFmtId="3" fontId="110" fillId="0" borderId="44" xfId="1028" applyNumberFormat="1" applyFont="1" applyFill="1" applyBorder="1" applyAlignment="1" applyProtection="1">
      <alignment horizontal="center" vertical="center"/>
      <protection locked="0"/>
    </xf>
    <xf numFmtId="3" fontId="110" fillId="0" borderId="155" xfId="1028" applyNumberFormat="1" applyFont="1" applyFill="1" applyBorder="1" applyAlignment="1" applyProtection="1">
      <alignment horizontal="center" vertical="center"/>
      <protection locked="0"/>
    </xf>
    <xf numFmtId="3" fontId="110" fillId="0" borderId="44" xfId="1031" applyNumberFormat="1" applyFont="1" applyFill="1" applyBorder="1" applyAlignment="1" applyProtection="1">
      <alignment horizontal="center" vertical="center"/>
      <protection locked="0"/>
    </xf>
    <xf numFmtId="3" fontId="110" fillId="0" borderId="134" xfId="1031" applyNumberFormat="1" applyFont="1" applyFill="1" applyBorder="1" applyAlignment="1" applyProtection="1">
      <alignment horizontal="center" vertical="center"/>
      <protection locked="0"/>
    </xf>
    <xf numFmtId="3" fontId="110" fillId="0" borderId="204" xfId="1028" applyNumberFormat="1" applyFont="1" applyFill="1" applyBorder="1" applyAlignment="1" applyProtection="1">
      <alignment horizontal="center" vertical="center"/>
      <protection locked="0"/>
    </xf>
    <xf numFmtId="1" fontId="110" fillId="0" borderId="205" xfId="1031" applyNumberFormat="1" applyFont="1" applyFill="1" applyBorder="1" applyAlignment="1" applyProtection="1">
      <alignment horizontal="center" vertical="center"/>
      <protection locked="0"/>
    </xf>
    <xf numFmtId="3" fontId="40" fillId="0" borderId="136" xfId="1028" applyNumberFormat="1" applyFont="1" applyFill="1" applyBorder="1" applyAlignment="1" applyProtection="1">
      <alignment horizontal="center" vertical="center"/>
    </xf>
    <xf numFmtId="3" fontId="40" fillId="0" borderId="43" xfId="1028" applyNumberFormat="1" applyFont="1" applyFill="1" applyBorder="1" applyAlignment="1" applyProtection="1">
      <alignment horizontal="center" vertical="center"/>
    </xf>
    <xf numFmtId="0" fontId="1" fillId="0" borderId="17" xfId="0" applyFont="1" applyBorder="1" applyAlignment="1">
      <alignment horizontal="center"/>
    </xf>
    <xf numFmtId="1" fontId="26" fillId="0" borderId="25" xfId="1026" applyNumberFormat="1" applyFont="1" applyFill="1" applyBorder="1" applyAlignment="1">
      <alignment horizontal="center" vertical="center" wrapText="1"/>
    </xf>
    <xf numFmtId="1" fontId="26" fillId="0" borderId="24" xfId="1026" applyNumberFormat="1" applyFont="1" applyFill="1" applyBorder="1" applyAlignment="1">
      <alignment horizontal="center" vertical="center"/>
    </xf>
    <xf numFmtId="2" fontId="14" fillId="0" borderId="24" xfId="0" applyNumberFormat="1" applyFont="1" applyFill="1" applyBorder="1" applyAlignment="1">
      <alignment horizontal="center" vertical="center"/>
    </xf>
    <xf numFmtId="0" fontId="84" fillId="0" borderId="0" xfId="0" applyFont="1"/>
    <xf numFmtId="0" fontId="84" fillId="0" borderId="0" xfId="0" applyFont="1" applyAlignment="1">
      <alignment horizontal="center"/>
    </xf>
    <xf numFmtId="0" fontId="84" fillId="0" borderId="0" xfId="0" applyFont="1" applyAlignment="1">
      <alignment horizontal="center" vertical="center"/>
    </xf>
    <xf numFmtId="168" fontId="29" fillId="0" borderId="25" xfId="1026" applyNumberFormat="1" applyFont="1" applyFill="1" applyBorder="1" applyAlignment="1">
      <alignment horizontal="center" vertical="center" wrapText="1"/>
    </xf>
    <xf numFmtId="1" fontId="12" fillId="0" borderId="113" xfId="0" applyNumberFormat="1" applyFont="1" applyFill="1" applyBorder="1" applyAlignment="1">
      <alignment horizontal="center" vertical="center"/>
    </xf>
    <xf numFmtId="1" fontId="12" fillId="0" borderId="97" xfId="0" applyNumberFormat="1" applyFont="1" applyFill="1" applyBorder="1" applyAlignment="1">
      <alignment horizontal="center" vertical="center"/>
    </xf>
    <xf numFmtId="0" fontId="12" fillId="0" borderId="97" xfId="0" applyFont="1" applyFill="1" applyBorder="1" applyAlignment="1">
      <alignment horizontal="center" vertical="center"/>
    </xf>
    <xf numFmtId="0" fontId="12" fillId="0" borderId="114" xfId="0" applyFont="1" applyFill="1" applyBorder="1" applyAlignment="1">
      <alignment horizontal="center" vertical="center"/>
    </xf>
    <xf numFmtId="0" fontId="12" fillId="0" borderId="280" xfId="0" applyFont="1" applyFill="1" applyBorder="1" applyAlignment="1">
      <alignment horizontal="center" vertical="center"/>
    </xf>
    <xf numFmtId="1" fontId="12" fillId="0" borderId="24" xfId="0" applyNumberFormat="1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281" xfId="0" applyFont="1" applyFill="1" applyBorder="1" applyAlignment="1">
      <alignment horizontal="center" vertical="center"/>
    </xf>
    <xf numFmtId="0" fontId="12" fillId="0" borderId="83" xfId="0" applyFont="1" applyFill="1" applyBorder="1" applyAlignment="1">
      <alignment horizontal="center" vertical="center"/>
    </xf>
    <xf numFmtId="1" fontId="12" fillId="0" borderId="85" xfId="0" applyNumberFormat="1" applyFont="1" applyFill="1" applyBorder="1" applyAlignment="1">
      <alignment horizontal="center" vertical="center"/>
    </xf>
    <xf numFmtId="0" fontId="12" fillId="0" borderId="85" xfId="0" applyFont="1" applyFill="1" applyBorder="1" applyAlignment="1">
      <alignment horizontal="center" vertical="center"/>
    </xf>
    <xf numFmtId="0" fontId="12" fillId="0" borderId="86" xfId="0" applyFont="1" applyFill="1" applyBorder="1" applyAlignment="1">
      <alignment horizontal="center" vertical="center"/>
    </xf>
    <xf numFmtId="1" fontId="12" fillId="0" borderId="280" xfId="0" applyNumberFormat="1" applyFont="1" applyFill="1" applyBorder="1" applyAlignment="1">
      <alignment horizontal="center" vertical="center"/>
    </xf>
    <xf numFmtId="0" fontId="17" fillId="25" borderId="143" xfId="1026" applyFont="1" applyFill="1" applyBorder="1" applyAlignment="1">
      <alignment vertical="center" textRotation="1" wrapText="1"/>
    </xf>
    <xf numFmtId="0" fontId="17" fillId="25" borderId="144" xfId="1026" applyFont="1" applyFill="1" applyBorder="1" applyAlignment="1">
      <alignment vertical="center" textRotation="1" wrapText="1"/>
    </xf>
    <xf numFmtId="0" fontId="14" fillId="26" borderId="49" xfId="0" applyFont="1" applyFill="1" applyBorder="1" applyAlignment="1">
      <alignment horizontal="center"/>
    </xf>
    <xf numFmtId="0" fontId="37" fillId="26" borderId="56" xfId="0" applyFont="1" applyFill="1" applyBorder="1" applyAlignment="1">
      <alignment horizontal="center" vertical="center"/>
    </xf>
    <xf numFmtId="1" fontId="37" fillId="26" borderId="17" xfId="0" applyNumberFormat="1" applyFont="1" applyFill="1" applyBorder="1" applyAlignment="1">
      <alignment horizontal="center" vertical="center"/>
    </xf>
    <xf numFmtId="0" fontId="37" fillId="26" borderId="17" xfId="0" applyFont="1" applyFill="1" applyBorder="1" applyAlignment="1">
      <alignment horizontal="center" vertical="center"/>
    </xf>
    <xf numFmtId="3" fontId="14" fillId="26" borderId="18" xfId="0" applyNumberFormat="1" applyFont="1" applyFill="1" applyBorder="1" applyAlignment="1">
      <alignment horizontal="center"/>
    </xf>
    <xf numFmtId="0" fontId="37" fillId="25" borderId="56" xfId="0" applyFont="1" applyFill="1" applyBorder="1" applyAlignment="1">
      <alignment horizontal="center" vertical="center"/>
    </xf>
    <xf numFmtId="1" fontId="37" fillId="25" borderId="17" xfId="0" applyNumberFormat="1" applyFont="1" applyFill="1" applyBorder="1" applyAlignment="1">
      <alignment horizontal="center" vertical="center"/>
    </xf>
    <xf numFmtId="0" fontId="37" fillId="25" borderId="17" xfId="0" applyFont="1" applyFill="1" applyBorder="1" applyAlignment="1">
      <alignment horizontal="center" vertical="center"/>
    </xf>
    <xf numFmtId="1" fontId="37" fillId="25" borderId="56" xfId="0" applyNumberFormat="1" applyFont="1" applyFill="1" applyBorder="1" applyAlignment="1">
      <alignment horizontal="center" vertical="center"/>
    </xf>
    <xf numFmtId="1" fontId="14" fillId="25" borderId="18" xfId="0" applyNumberFormat="1" applyFont="1" applyFill="1" applyBorder="1" applyAlignment="1">
      <alignment horizontal="center"/>
    </xf>
    <xf numFmtId="3" fontId="110" fillId="0" borderId="244" xfId="1028" applyNumberFormat="1" applyFont="1" applyFill="1" applyBorder="1" applyAlignment="1" applyProtection="1">
      <alignment horizontal="center" vertical="center"/>
      <protection hidden="1"/>
    </xf>
    <xf numFmtId="1" fontId="110" fillId="0" borderId="244" xfId="1028" applyNumberFormat="1" applyFont="1" applyFill="1" applyBorder="1" applyAlignment="1" applyProtection="1">
      <alignment horizontal="center" vertical="center"/>
      <protection hidden="1"/>
    </xf>
    <xf numFmtId="1" fontId="110" fillId="0" borderId="245" xfId="1028" applyNumberFormat="1" applyFont="1" applyFill="1" applyBorder="1" applyAlignment="1" applyProtection="1">
      <alignment horizontal="center" vertical="center"/>
    </xf>
    <xf numFmtId="3" fontId="110" fillId="0" borderId="148" xfId="1028" applyNumberFormat="1" applyFont="1" applyFill="1" applyBorder="1" applyAlignment="1" applyProtection="1">
      <alignment horizontal="center" vertical="center"/>
    </xf>
    <xf numFmtId="3" fontId="110" fillId="0" borderId="147" xfId="1028" applyNumberFormat="1" applyFont="1" applyFill="1" applyBorder="1" applyAlignment="1" applyProtection="1">
      <alignment horizontal="center" vertical="center"/>
      <protection hidden="1"/>
    </xf>
    <xf numFmtId="1" fontId="110" fillId="0" borderId="149" xfId="1028" applyNumberFormat="1" applyFont="1" applyFill="1" applyBorder="1" applyAlignment="1" applyProtection="1">
      <alignment horizontal="center" vertical="center"/>
      <protection hidden="1"/>
    </xf>
    <xf numFmtId="3" fontId="40" fillId="0" borderId="127" xfId="1028" applyNumberFormat="1" applyFont="1" applyFill="1" applyBorder="1" applyAlignment="1" applyProtection="1">
      <alignment horizontal="center" vertical="center"/>
      <protection hidden="1"/>
    </xf>
    <xf numFmtId="1" fontId="40" fillId="0" borderId="204" xfId="1028" applyNumberFormat="1" applyFont="1" applyFill="1" applyBorder="1" applyAlignment="1" applyProtection="1">
      <alignment horizontal="center" vertical="center"/>
      <protection hidden="1"/>
    </xf>
    <xf numFmtId="1" fontId="40" fillId="0" borderId="156" xfId="1028" applyNumberFormat="1" applyFont="1" applyFill="1" applyBorder="1" applyAlignment="1" applyProtection="1">
      <alignment horizontal="center" vertical="center"/>
      <protection hidden="1"/>
    </xf>
    <xf numFmtId="167" fontId="14" fillId="0" borderId="24" xfId="1040" applyNumberFormat="1" applyFont="1" applyFill="1" applyBorder="1" applyAlignment="1" applyProtection="1">
      <alignment horizontal="center" vertical="center" wrapText="1"/>
    </xf>
    <xf numFmtId="0" fontId="21" fillId="0" borderId="37" xfId="0" applyFont="1" applyFill="1" applyBorder="1" applyAlignment="1">
      <alignment vertical="center" wrapText="1"/>
    </xf>
    <xf numFmtId="0" fontId="21" fillId="0" borderId="38" xfId="0" applyFont="1" applyFill="1" applyBorder="1" applyAlignment="1">
      <alignment vertical="center" wrapText="1"/>
    </xf>
    <xf numFmtId="0" fontId="12" fillId="26" borderId="140" xfId="0" applyFont="1" applyFill="1" applyBorder="1" applyAlignment="1">
      <alignment horizontal="center" vertical="center"/>
    </xf>
    <xf numFmtId="168" fontId="12" fillId="26" borderId="74" xfId="0" applyNumberFormat="1" applyFont="1" applyFill="1" applyBorder="1" applyAlignment="1">
      <alignment horizontal="center"/>
    </xf>
    <xf numFmtId="168" fontId="12" fillId="26" borderId="138" xfId="0" applyNumberFormat="1" applyFont="1" applyFill="1" applyBorder="1" applyAlignment="1">
      <alignment horizontal="center"/>
    </xf>
    <xf numFmtId="0" fontId="21" fillId="0" borderId="21" xfId="0" applyFont="1" applyFill="1" applyBorder="1" applyAlignment="1">
      <alignment vertical="center" wrapText="1"/>
    </xf>
    <xf numFmtId="0" fontId="12" fillId="26" borderId="285" xfId="0" applyFont="1" applyFill="1" applyBorder="1" applyAlignment="1">
      <alignment horizontal="center" vertical="center"/>
    </xf>
    <xf numFmtId="0" fontId="4" fillId="25" borderId="46" xfId="0" applyFont="1" applyFill="1" applyBorder="1" applyAlignment="1">
      <alignment horizontal="center" vertical="center" wrapText="1"/>
    </xf>
    <xf numFmtId="0" fontId="21" fillId="0" borderId="40" xfId="0" applyFont="1" applyFill="1" applyBorder="1" applyAlignment="1">
      <alignment horizontal="center" vertical="center"/>
    </xf>
    <xf numFmtId="0" fontId="12" fillId="26" borderId="286" xfId="0" applyFont="1" applyFill="1" applyBorder="1" applyAlignment="1">
      <alignment horizontal="center"/>
    </xf>
    <xf numFmtId="0" fontId="12" fillId="25" borderId="95" xfId="0" applyFont="1" applyFill="1" applyBorder="1"/>
    <xf numFmtId="0" fontId="4" fillId="0" borderId="39" xfId="0" applyFont="1" applyFill="1" applyBorder="1" applyAlignment="1">
      <alignment horizontal="center" vertical="center" wrapText="1"/>
    </xf>
    <xf numFmtId="0" fontId="12" fillId="26" borderId="114" xfId="0" applyFont="1" applyFill="1" applyBorder="1" applyAlignment="1">
      <alignment horizontal="center"/>
    </xf>
    <xf numFmtId="0" fontId="4" fillId="25" borderId="86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/>
    </xf>
    <xf numFmtId="0" fontId="21" fillId="26" borderId="18" xfId="0" applyFont="1" applyFill="1" applyBorder="1" applyAlignment="1">
      <alignment horizontal="center" vertical="center"/>
    </xf>
    <xf numFmtId="0" fontId="21" fillId="25" borderId="18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102" xfId="0" applyFont="1" applyFill="1" applyBorder="1" applyAlignment="1">
      <alignment horizontal="center" vertical="center"/>
    </xf>
    <xf numFmtId="0" fontId="21" fillId="26" borderId="58" xfId="0" applyFont="1" applyFill="1" applyBorder="1" applyAlignment="1">
      <alignment horizontal="center" vertical="center"/>
    </xf>
    <xf numFmtId="0" fontId="21" fillId="26" borderId="40" xfId="0" applyFont="1" applyFill="1" applyBorder="1" applyAlignment="1">
      <alignment horizontal="center" vertical="center"/>
    </xf>
    <xf numFmtId="166" fontId="12" fillId="0" borderId="116" xfId="0" applyNumberFormat="1" applyFont="1" applyFill="1" applyBorder="1" applyAlignment="1">
      <alignment horizontal="center" vertical="center"/>
    </xf>
    <xf numFmtId="0" fontId="21" fillId="0" borderId="287" xfId="0" applyFont="1" applyFill="1" applyBorder="1" applyAlignment="1">
      <alignment vertical="center" wrapText="1"/>
    </xf>
    <xf numFmtId="1" fontId="12" fillId="0" borderId="116" xfId="0" applyNumberFormat="1" applyFont="1" applyFill="1" applyBorder="1" applyAlignment="1">
      <alignment horizontal="center" vertical="center"/>
    </xf>
    <xf numFmtId="1" fontId="12" fillId="0" borderId="31" xfId="0" applyNumberFormat="1" applyFont="1" applyFill="1" applyBorder="1" applyAlignment="1">
      <alignment horizontal="center" vertical="center"/>
    </xf>
    <xf numFmtId="1" fontId="12" fillId="0" borderId="109" xfId="0" applyNumberFormat="1" applyFont="1" applyFill="1" applyBorder="1" applyAlignment="1">
      <alignment horizontal="center" vertical="center"/>
    </xf>
    <xf numFmtId="173" fontId="75" fillId="0" borderId="0" xfId="1027" applyNumberFormat="1" applyFont="1" applyFill="1" applyAlignment="1">
      <alignment vertical="center" wrapText="1"/>
    </xf>
    <xf numFmtId="0" fontId="12" fillId="25" borderId="18" xfId="0" applyFont="1" applyFill="1" applyBorder="1" applyAlignment="1">
      <alignment horizontal="center"/>
    </xf>
    <xf numFmtId="0" fontId="21" fillId="26" borderId="101" xfId="0" applyFont="1" applyFill="1" applyBorder="1" applyAlignment="1">
      <alignment horizontal="center" vertical="center"/>
    </xf>
    <xf numFmtId="0" fontId="12" fillId="0" borderId="101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center" vertical="center"/>
    </xf>
    <xf numFmtId="0" fontId="37" fillId="26" borderId="18" xfId="0" applyFont="1" applyFill="1" applyBorder="1" applyAlignment="1">
      <alignment horizontal="center" vertical="center"/>
    </xf>
    <xf numFmtId="0" fontId="14" fillId="25" borderId="18" xfId="0" applyFont="1" applyFill="1" applyBorder="1" applyAlignment="1">
      <alignment horizontal="center"/>
    </xf>
    <xf numFmtId="168" fontId="12" fillId="0" borderId="40" xfId="0" applyNumberFormat="1" applyFont="1" applyFill="1" applyBorder="1" applyAlignment="1">
      <alignment horizontal="center" vertical="center"/>
    </xf>
    <xf numFmtId="168" fontId="12" fillId="0" borderId="39" xfId="0" applyNumberFormat="1" applyFont="1" applyFill="1" applyBorder="1" applyAlignment="1">
      <alignment horizontal="center" vertical="center"/>
    </xf>
    <xf numFmtId="1" fontId="12" fillId="0" borderId="39" xfId="1026" applyNumberFormat="1" applyFont="1" applyFill="1" applyBorder="1" applyAlignment="1">
      <alignment horizontal="center" vertical="center"/>
    </xf>
    <xf numFmtId="168" fontId="12" fillId="27" borderId="39" xfId="0" applyNumberFormat="1" applyFont="1" applyFill="1" applyBorder="1" applyAlignment="1">
      <alignment horizontal="center" vertical="center"/>
    </xf>
    <xf numFmtId="168" fontId="12" fillId="26" borderId="16" xfId="0" applyNumberFormat="1" applyFont="1" applyFill="1" applyBorder="1" applyAlignment="1">
      <alignment horizontal="center"/>
    </xf>
    <xf numFmtId="0" fontId="12" fillId="25" borderId="18" xfId="0" applyFont="1" applyFill="1" applyBorder="1"/>
    <xf numFmtId="168" fontId="12" fillId="26" borderId="286" xfId="0" applyNumberFormat="1" applyFont="1" applyFill="1" applyBorder="1" applyAlignment="1">
      <alignment horizontal="center"/>
    </xf>
    <xf numFmtId="168" fontId="12" fillId="25" borderId="40" xfId="0" applyNumberFormat="1" applyFont="1" applyFill="1" applyBorder="1" applyAlignment="1">
      <alignment horizontal="center" vertical="center"/>
    </xf>
    <xf numFmtId="1" fontId="12" fillId="26" borderId="286" xfId="0" applyNumberFormat="1" applyFont="1" applyFill="1" applyBorder="1" applyAlignment="1">
      <alignment horizontal="center"/>
    </xf>
    <xf numFmtId="1" fontId="12" fillId="25" borderId="95" xfId="0" applyNumberFormat="1" applyFont="1" applyFill="1" applyBorder="1" applyAlignment="1">
      <alignment horizontal="center"/>
    </xf>
    <xf numFmtId="168" fontId="12" fillId="26" borderId="114" xfId="0" applyNumberFormat="1" applyFont="1" applyFill="1" applyBorder="1" applyAlignment="1">
      <alignment horizontal="center"/>
    </xf>
    <xf numFmtId="168" fontId="22" fillId="26" borderId="18" xfId="0" applyNumberFormat="1" applyFont="1" applyFill="1" applyBorder="1" applyAlignment="1">
      <alignment horizontal="center" vertical="center"/>
    </xf>
    <xf numFmtId="0" fontId="22" fillId="25" borderId="18" xfId="0" applyFont="1" applyFill="1" applyBorder="1" applyAlignment="1">
      <alignment horizontal="center" vertical="center"/>
    </xf>
    <xf numFmtId="1" fontId="12" fillId="0" borderId="114" xfId="1026" applyNumberFormat="1" applyFont="1" applyFill="1" applyBorder="1" applyAlignment="1">
      <alignment horizontal="center" vertical="center"/>
    </xf>
    <xf numFmtId="1" fontId="12" fillId="0" borderId="281" xfId="1026" applyNumberFormat="1" applyFont="1" applyFill="1" applyBorder="1" applyAlignment="1">
      <alignment horizontal="center" vertical="center"/>
    </xf>
    <xf numFmtId="1" fontId="12" fillId="0" borderId="86" xfId="1026" applyNumberFormat="1" applyFont="1" applyFill="1" applyBorder="1" applyAlignment="1">
      <alignment horizontal="center" vertical="center"/>
    </xf>
    <xf numFmtId="1" fontId="37" fillId="26" borderId="18" xfId="0" applyNumberFormat="1" applyFont="1" applyFill="1" applyBorder="1" applyAlignment="1">
      <alignment horizontal="center" vertical="center"/>
    </xf>
    <xf numFmtId="1" fontId="37" fillId="25" borderId="18" xfId="0" applyNumberFormat="1" applyFont="1" applyFill="1" applyBorder="1" applyAlignment="1">
      <alignment horizontal="center" vertical="center"/>
    </xf>
    <xf numFmtId="0" fontId="21" fillId="0" borderId="39" xfId="0" applyFont="1" applyFill="1" applyBorder="1" applyAlignment="1">
      <alignment horizontal="center" vertical="center"/>
    </xf>
    <xf numFmtId="0" fontId="23" fillId="0" borderId="40" xfId="1026" applyFont="1" applyFill="1" applyBorder="1" applyAlignment="1">
      <alignment horizontal="left" vertical="center" wrapText="1"/>
    </xf>
    <xf numFmtId="1" fontId="12" fillId="26" borderId="95" xfId="0" applyNumberFormat="1" applyFont="1" applyFill="1" applyBorder="1" applyAlignment="1">
      <alignment horizontal="center" vertical="center"/>
    </xf>
    <xf numFmtId="1" fontId="4" fillId="25" borderId="95" xfId="0" applyNumberFormat="1" applyFont="1" applyFill="1" applyBorder="1" applyAlignment="1">
      <alignment horizontal="center" vertical="center" wrapText="1"/>
    </xf>
    <xf numFmtId="168" fontId="12" fillId="0" borderId="281" xfId="0" applyNumberFormat="1" applyFont="1" applyFill="1" applyBorder="1" applyAlignment="1">
      <alignment horizontal="center" vertical="center"/>
    </xf>
    <xf numFmtId="168" fontId="12" fillId="0" borderId="86" xfId="0" applyNumberFormat="1" applyFont="1" applyFill="1" applyBorder="1" applyAlignment="1">
      <alignment horizontal="center" vertical="center"/>
    </xf>
    <xf numFmtId="1" fontId="40" fillId="0" borderId="143" xfId="1031" applyNumberFormat="1" applyFont="1" applyFill="1" applyBorder="1" applyAlignment="1" applyProtection="1">
      <alignment horizontal="center" vertical="center"/>
      <protection locked="0"/>
    </xf>
    <xf numFmtId="0" fontId="40" fillId="0" borderId="288" xfId="1028" applyFont="1" applyFill="1" applyBorder="1" applyAlignment="1" applyProtection="1">
      <alignment horizontal="center" vertical="center"/>
      <protection locked="0"/>
    </xf>
    <xf numFmtId="0" fontId="73" fillId="0" borderId="0" xfId="1027" applyFont="1" applyFill="1" applyBorder="1" applyAlignment="1">
      <alignment vertical="center" wrapText="1"/>
    </xf>
    <xf numFmtId="0" fontId="73" fillId="0" borderId="0" xfId="1027" applyFont="1" applyFill="1" applyBorder="1" applyAlignment="1">
      <alignment horizontal="center" vertical="center" wrapText="1"/>
    </xf>
    <xf numFmtId="0" fontId="45" fillId="0" borderId="64" xfId="1028" applyFont="1" applyFill="1" applyBorder="1" applyAlignment="1" applyProtection="1">
      <alignment horizontal="center" vertical="center"/>
      <protection locked="0"/>
    </xf>
    <xf numFmtId="3" fontId="40" fillId="0" borderId="289" xfId="1031" applyNumberFormat="1" applyFont="1" applyFill="1" applyBorder="1" applyAlignment="1" applyProtection="1">
      <alignment horizontal="center" vertical="center"/>
      <protection locked="0"/>
    </xf>
    <xf numFmtId="3" fontId="45" fillId="0" borderId="57" xfId="1028" applyNumberFormat="1" applyFont="1" applyFill="1" applyBorder="1" applyAlignment="1" applyProtection="1">
      <alignment horizontal="center" vertical="center"/>
      <protection locked="0"/>
    </xf>
    <xf numFmtId="3" fontId="45" fillId="0" borderId="32" xfId="1028" applyNumberFormat="1" applyFont="1" applyFill="1" applyBorder="1" applyAlignment="1" applyProtection="1">
      <alignment horizontal="center" vertical="center"/>
      <protection locked="0"/>
    </xf>
    <xf numFmtId="1" fontId="45" fillId="0" borderId="67" xfId="1028" applyNumberFormat="1" applyFont="1" applyFill="1" applyBorder="1" applyAlignment="1" applyProtection="1">
      <alignment horizontal="center" vertical="center"/>
      <protection locked="0"/>
    </xf>
    <xf numFmtId="1" fontId="45" fillId="0" borderId="90" xfId="1028" applyNumberFormat="1" applyFont="1" applyFill="1" applyBorder="1" applyAlignment="1" applyProtection="1">
      <alignment horizontal="center" vertical="center"/>
      <protection locked="0"/>
    </xf>
    <xf numFmtId="3" fontId="40" fillId="0" borderId="137" xfId="1031" applyNumberFormat="1" applyFont="1" applyFill="1" applyBorder="1" applyAlignment="1" applyProtection="1">
      <alignment horizontal="center" vertical="center"/>
      <protection locked="0"/>
    </xf>
    <xf numFmtId="0" fontId="40" fillId="0" borderId="145" xfId="1028" applyFont="1" applyFill="1" applyBorder="1" applyAlignment="1" applyProtection="1">
      <alignment horizontal="center" vertical="center"/>
      <protection locked="0"/>
    </xf>
    <xf numFmtId="0" fontId="40" fillId="0" borderId="167" xfId="1028" applyFont="1" applyFill="1" applyBorder="1" applyAlignment="1" applyProtection="1">
      <alignment horizontal="center" vertical="center"/>
      <protection locked="0"/>
    </xf>
    <xf numFmtId="0" fontId="45" fillId="0" borderId="154" xfId="1028" applyFont="1" applyFill="1" applyBorder="1" applyAlignment="1" applyProtection="1">
      <alignment horizontal="center" vertical="center"/>
      <protection locked="0"/>
    </xf>
    <xf numFmtId="3" fontId="40" fillId="0" borderId="152" xfId="1028" applyNumberFormat="1" applyFont="1" applyFill="1" applyBorder="1" applyAlignment="1" applyProtection="1">
      <alignment horizontal="center" vertical="center"/>
      <protection hidden="1"/>
    </xf>
    <xf numFmtId="3" fontId="40" fillId="0" borderId="153" xfId="1028" applyNumberFormat="1" applyFont="1" applyFill="1" applyBorder="1" applyAlignment="1" applyProtection="1">
      <alignment horizontal="center" vertical="center"/>
      <protection hidden="1"/>
    </xf>
    <xf numFmtId="0" fontId="40" fillId="35" borderId="151" xfId="1028" applyFont="1" applyFill="1" applyBorder="1" applyAlignment="1" applyProtection="1">
      <alignment horizontal="center" vertical="center"/>
      <protection locked="0"/>
    </xf>
    <xf numFmtId="3" fontId="40" fillId="35" borderId="152" xfId="1028" applyNumberFormat="1" applyFont="1" applyFill="1" applyBorder="1" applyAlignment="1" applyProtection="1">
      <alignment horizontal="center" vertical="center"/>
      <protection hidden="1"/>
    </xf>
    <xf numFmtId="3" fontId="40" fillId="35" borderId="43" xfId="1028" applyNumberFormat="1" applyFont="1" applyFill="1" applyBorder="1" applyAlignment="1" applyProtection="1">
      <alignment horizontal="center" vertical="center"/>
      <protection hidden="1"/>
    </xf>
    <xf numFmtId="1" fontId="40" fillId="35" borderId="29" xfId="1028" applyNumberFormat="1" applyFont="1" applyFill="1" applyBorder="1" applyAlignment="1" applyProtection="1">
      <alignment horizontal="center" vertical="center"/>
    </xf>
    <xf numFmtId="1" fontId="40" fillId="35" borderId="152" xfId="1028" applyNumberFormat="1" applyFont="1" applyFill="1" applyBorder="1" applyAlignment="1" applyProtection="1">
      <alignment horizontal="center" vertical="center"/>
    </xf>
    <xf numFmtId="3" fontId="40" fillId="35" borderId="153" xfId="1028" applyNumberFormat="1" applyFont="1" applyFill="1" applyBorder="1" applyAlignment="1" applyProtection="1">
      <alignment horizontal="center" vertical="center"/>
      <protection hidden="1"/>
    </xf>
    <xf numFmtId="0" fontId="40" fillId="35" borderId="145" xfId="1028" applyFont="1" applyFill="1" applyBorder="1" applyAlignment="1" applyProtection="1">
      <alignment horizontal="center" vertical="center"/>
      <protection locked="0"/>
    </xf>
    <xf numFmtId="1" fontId="45" fillId="35" borderId="146" xfId="1028" applyNumberFormat="1" applyFont="1" applyFill="1" applyBorder="1" applyAlignment="1" applyProtection="1">
      <alignment horizontal="center" vertical="center"/>
      <protection locked="0"/>
    </xf>
    <xf numFmtId="3" fontId="45" fillId="35" borderId="147" xfId="1028" applyNumberFormat="1" applyFont="1" applyFill="1" applyBorder="1" applyAlignment="1" applyProtection="1">
      <alignment horizontal="center" vertical="center"/>
      <protection locked="0"/>
    </xf>
    <xf numFmtId="3" fontId="45" fillId="35" borderId="148" xfId="1028" applyNumberFormat="1" applyFont="1" applyFill="1" applyBorder="1" applyAlignment="1" applyProtection="1">
      <alignment horizontal="center" vertical="center"/>
      <protection locked="0"/>
    </xf>
    <xf numFmtId="1" fontId="45" fillId="35" borderId="149" xfId="1028" applyNumberFormat="1" applyFont="1" applyFill="1" applyBorder="1" applyAlignment="1" applyProtection="1">
      <alignment horizontal="center" vertical="center"/>
      <protection locked="0"/>
    </xf>
    <xf numFmtId="0" fontId="40" fillId="35" borderId="64" xfId="1028" applyFont="1" applyFill="1" applyBorder="1" applyAlignment="1" applyProtection="1">
      <alignment horizontal="center" vertical="center"/>
      <protection locked="0"/>
    </xf>
    <xf numFmtId="1" fontId="45" fillId="35" borderId="150" xfId="1031" applyNumberFormat="1" applyFont="1" applyFill="1" applyBorder="1" applyAlignment="1" applyProtection="1">
      <alignment horizontal="center" vertical="center"/>
      <protection locked="0"/>
    </xf>
    <xf numFmtId="3" fontId="45" fillId="35" borderId="30" xfId="1028" applyNumberFormat="1" applyFont="1" applyFill="1" applyBorder="1" applyAlignment="1" applyProtection="1">
      <alignment horizontal="center" vertical="center"/>
      <protection locked="0"/>
    </xf>
    <xf numFmtId="3" fontId="45" fillId="35" borderId="30" xfId="1031" applyNumberFormat="1" applyFont="1" applyFill="1" applyBorder="1" applyAlignment="1" applyProtection="1">
      <alignment horizontal="center" vertical="center"/>
      <protection locked="0"/>
    </xf>
    <xf numFmtId="3" fontId="45" fillId="35" borderId="29" xfId="1031" applyNumberFormat="1" applyFont="1" applyFill="1" applyBorder="1" applyAlignment="1" applyProtection="1">
      <alignment horizontal="center" vertical="center"/>
      <protection locked="0"/>
    </xf>
    <xf numFmtId="1" fontId="45" fillId="35" borderId="36" xfId="1031" applyNumberFormat="1" applyFont="1" applyFill="1" applyBorder="1" applyAlignment="1" applyProtection="1">
      <alignment horizontal="center" vertical="center"/>
      <protection locked="0"/>
    </xf>
    <xf numFmtId="1" fontId="45" fillId="35" borderId="161" xfId="1031" applyNumberFormat="1" applyFont="1" applyFill="1" applyBorder="1" applyAlignment="1" applyProtection="1">
      <alignment horizontal="center" vertical="center"/>
      <protection locked="0"/>
    </xf>
    <xf numFmtId="3" fontId="45" fillId="35" borderId="44" xfId="1028" applyNumberFormat="1" applyFont="1" applyFill="1" applyBorder="1" applyAlignment="1" applyProtection="1">
      <alignment horizontal="center" vertical="center"/>
      <protection locked="0"/>
    </xf>
    <xf numFmtId="3" fontId="45" fillId="35" borderId="155" xfId="1028" applyNumberFormat="1" applyFont="1" applyFill="1" applyBorder="1" applyAlignment="1" applyProtection="1">
      <alignment horizontal="center" vertical="center"/>
      <protection locked="0"/>
    </xf>
    <xf numFmtId="3" fontId="45" fillId="35" borderId="44" xfId="1031" applyNumberFormat="1" applyFont="1" applyFill="1" applyBorder="1" applyAlignment="1" applyProtection="1">
      <alignment horizontal="center" vertical="center"/>
      <protection locked="0"/>
    </xf>
    <xf numFmtId="3" fontId="45" fillId="35" borderId="134" xfId="1031" applyNumberFormat="1" applyFont="1" applyFill="1" applyBorder="1" applyAlignment="1" applyProtection="1">
      <alignment horizontal="center" vertical="center"/>
      <protection locked="0"/>
    </xf>
    <xf numFmtId="3" fontId="45" fillId="35" borderId="204" xfId="1028" applyNumberFormat="1" applyFont="1" applyFill="1" applyBorder="1" applyAlignment="1" applyProtection="1">
      <alignment horizontal="center" vertical="center"/>
      <protection locked="0"/>
    </xf>
    <xf numFmtId="1" fontId="45" fillId="35" borderId="205" xfId="1031" applyNumberFormat="1" applyFont="1" applyFill="1" applyBorder="1" applyAlignment="1" applyProtection="1">
      <alignment horizontal="center" vertical="center"/>
      <protection locked="0"/>
    </xf>
    <xf numFmtId="0" fontId="40" fillId="35" borderId="98" xfId="1028" applyFont="1" applyFill="1" applyBorder="1" applyAlignment="1" applyProtection="1">
      <alignment horizontal="center" vertical="center"/>
      <protection locked="0"/>
    </xf>
    <xf numFmtId="1" fontId="40" fillId="35" borderId="122" xfId="1031" applyNumberFormat="1" applyFont="1" applyFill="1" applyBorder="1" applyAlignment="1" applyProtection="1">
      <alignment horizontal="center" vertical="center"/>
      <protection locked="0"/>
    </xf>
    <xf numFmtId="3" fontId="40" fillId="35" borderId="33" xfId="1028" applyNumberFormat="1" applyFont="1" applyFill="1" applyBorder="1" applyAlignment="1" applyProtection="1">
      <alignment horizontal="center" vertical="center"/>
      <protection locked="0"/>
    </xf>
    <xf numFmtId="3" fontId="40" fillId="35" borderId="33" xfId="1031" applyNumberFormat="1" applyFont="1" applyFill="1" applyBorder="1" applyAlignment="1" applyProtection="1">
      <alignment horizontal="center" vertical="center"/>
      <protection locked="0"/>
    </xf>
    <xf numFmtId="3" fontId="40" fillId="35" borderId="137" xfId="1031" applyNumberFormat="1" applyFont="1" applyFill="1" applyBorder="1" applyAlignment="1" applyProtection="1">
      <alignment horizontal="center" vertical="center"/>
      <protection locked="0"/>
    </xf>
    <xf numFmtId="1" fontId="40" fillId="35" borderId="101" xfId="1031" applyNumberFormat="1" applyFont="1" applyFill="1" applyBorder="1" applyAlignment="1" applyProtection="1">
      <alignment horizontal="center" vertical="center"/>
      <protection locked="0"/>
    </xf>
    <xf numFmtId="1" fontId="40" fillId="35" borderId="150" xfId="1031" applyNumberFormat="1" applyFont="1" applyFill="1" applyBorder="1" applyAlignment="1" applyProtection="1">
      <alignment horizontal="center" vertical="center"/>
      <protection locked="0"/>
    </xf>
    <xf numFmtId="3" fontId="40" fillId="35" borderId="30" xfId="1028" applyNumberFormat="1" applyFont="1" applyFill="1" applyBorder="1" applyAlignment="1" applyProtection="1">
      <alignment horizontal="center" vertical="center"/>
      <protection locked="0"/>
    </xf>
    <xf numFmtId="3" fontId="40" fillId="35" borderId="30" xfId="1031" applyNumberFormat="1" applyFont="1" applyFill="1" applyBorder="1" applyAlignment="1" applyProtection="1">
      <alignment horizontal="center" vertical="center"/>
      <protection locked="0"/>
    </xf>
    <xf numFmtId="3" fontId="40" fillId="35" borderId="29" xfId="1031" applyNumberFormat="1" applyFont="1" applyFill="1" applyBorder="1" applyAlignment="1" applyProtection="1">
      <alignment horizontal="center" vertical="center"/>
      <protection locked="0"/>
    </xf>
    <xf numFmtId="1" fontId="40" fillId="35" borderId="36" xfId="1031" applyNumberFormat="1" applyFont="1" applyFill="1" applyBorder="1" applyAlignment="1" applyProtection="1">
      <alignment horizontal="center" vertical="center"/>
      <protection locked="0"/>
    </xf>
    <xf numFmtId="0" fontId="40" fillId="35" borderId="88" xfId="1028" applyFont="1" applyFill="1" applyBorder="1" applyAlignment="1" applyProtection="1">
      <alignment horizontal="center" vertical="center"/>
      <protection locked="0"/>
    </xf>
    <xf numFmtId="1" fontId="40" fillId="35" borderId="161" xfId="1031" applyNumberFormat="1" applyFont="1" applyFill="1" applyBorder="1" applyAlignment="1" applyProtection="1">
      <alignment horizontal="center" vertical="center"/>
      <protection locked="0"/>
    </xf>
    <xf numFmtId="3" fontId="40" fillId="35" borderId="44" xfId="1028" applyNumberFormat="1" applyFont="1" applyFill="1" applyBorder="1" applyAlignment="1" applyProtection="1">
      <alignment horizontal="center" vertical="center"/>
      <protection locked="0"/>
    </xf>
    <xf numFmtId="3" fontId="40" fillId="35" borderId="44" xfId="1031" applyNumberFormat="1" applyFont="1" applyFill="1" applyBorder="1" applyAlignment="1" applyProtection="1">
      <alignment horizontal="center" vertical="center"/>
      <protection locked="0"/>
    </xf>
    <xf numFmtId="3" fontId="40" fillId="35" borderId="134" xfId="1031" applyNumberFormat="1" applyFont="1" applyFill="1" applyBorder="1" applyAlignment="1" applyProtection="1">
      <alignment horizontal="center" vertical="center"/>
      <protection locked="0"/>
    </xf>
    <xf numFmtId="1" fontId="40" fillId="35" borderId="46" xfId="1031" applyNumberFormat="1" applyFont="1" applyFill="1" applyBorder="1" applyAlignment="1" applyProtection="1">
      <alignment horizontal="center" vertical="center"/>
      <protection locked="0"/>
    </xf>
    <xf numFmtId="0" fontId="40" fillId="35" borderId="62" xfId="1028" applyFont="1" applyFill="1" applyBorder="1" applyAlignment="1" applyProtection="1">
      <alignment horizontal="center" vertical="center"/>
      <protection locked="0"/>
    </xf>
    <xf numFmtId="3" fontId="45" fillId="35" borderId="57" xfId="1028" applyNumberFormat="1" applyFont="1" applyFill="1" applyBorder="1" applyAlignment="1" applyProtection="1">
      <alignment horizontal="center" vertical="center"/>
      <protection locked="0"/>
    </xf>
    <xf numFmtId="3" fontId="45" fillId="35" borderId="105" xfId="1028" applyNumberFormat="1" applyFont="1" applyFill="1" applyBorder="1" applyAlignment="1" applyProtection="1">
      <alignment horizontal="center" vertical="center"/>
      <protection locked="0"/>
    </xf>
    <xf numFmtId="3" fontId="45" fillId="35" borderId="34" xfId="1028" applyNumberFormat="1" applyFont="1" applyFill="1" applyBorder="1" applyAlignment="1" applyProtection="1">
      <alignment horizontal="center" vertical="center"/>
      <protection locked="0"/>
    </xf>
    <xf numFmtId="1" fontId="45" fillId="35" borderId="90" xfId="1028" applyNumberFormat="1" applyFont="1" applyFill="1" applyBorder="1" applyAlignment="1" applyProtection="1">
      <alignment horizontal="center" vertical="center"/>
      <protection locked="0"/>
    </xf>
    <xf numFmtId="3" fontId="45" fillId="35" borderId="117" xfId="1031" applyNumberFormat="1" applyFont="1" applyFill="1" applyBorder="1" applyAlignment="1" applyProtection="1">
      <alignment horizontal="center" vertical="center"/>
      <protection locked="0"/>
    </xf>
    <xf numFmtId="3" fontId="45" fillId="35" borderId="35" xfId="1028" applyNumberFormat="1" applyFont="1" applyFill="1" applyBorder="1" applyAlignment="1" applyProtection="1">
      <alignment horizontal="center" vertical="center"/>
      <protection locked="0"/>
    </xf>
    <xf numFmtId="3" fontId="45" fillId="35" borderId="118" xfId="1031" applyNumberFormat="1" applyFont="1" applyFill="1" applyBorder="1" applyAlignment="1" applyProtection="1">
      <alignment horizontal="center" vertical="center"/>
      <protection locked="0"/>
    </xf>
    <xf numFmtId="3" fontId="45" fillId="35" borderId="45" xfId="1028" applyNumberFormat="1" applyFont="1" applyFill="1" applyBorder="1" applyAlignment="1" applyProtection="1">
      <alignment horizontal="center" vertical="center"/>
      <protection locked="0"/>
    </xf>
    <xf numFmtId="1" fontId="45" fillId="35" borderId="46" xfId="1031" applyNumberFormat="1" applyFont="1" applyFill="1" applyBorder="1" applyAlignment="1" applyProtection="1">
      <alignment horizontal="center" vertical="center"/>
      <protection locked="0"/>
    </xf>
    <xf numFmtId="0" fontId="40" fillId="0" borderId="165" xfId="1028" applyFont="1" applyFill="1" applyBorder="1" applyAlignment="1" applyProtection="1">
      <alignment horizontal="center" vertical="center"/>
      <protection locked="0"/>
    </xf>
    <xf numFmtId="3" fontId="40" fillId="35" borderId="127" xfId="1028" applyNumberFormat="1" applyFont="1" applyFill="1" applyBorder="1" applyAlignment="1" applyProtection="1">
      <alignment horizontal="center" vertical="center"/>
    </xf>
    <xf numFmtId="1" fontId="40" fillId="35" borderId="67" xfId="1028" applyNumberFormat="1" applyFont="1" applyFill="1" applyBorder="1" applyAlignment="1" applyProtection="1">
      <alignment horizontal="center" vertical="center"/>
    </xf>
    <xf numFmtId="3" fontId="40" fillId="35" borderId="57" xfId="1028" applyNumberFormat="1" applyFont="1" applyFill="1" applyBorder="1" applyAlignment="1" applyProtection="1">
      <alignment horizontal="center" vertical="center"/>
      <protection hidden="1"/>
    </xf>
    <xf numFmtId="3" fontId="40" fillId="35" borderId="32" xfId="1028" applyNumberFormat="1" applyFont="1" applyFill="1" applyBorder="1" applyAlignment="1" applyProtection="1">
      <alignment horizontal="center" vertical="center"/>
    </xf>
    <xf numFmtId="3" fontId="40" fillId="35" borderId="90" xfId="1028" applyNumberFormat="1" applyFont="1" applyFill="1" applyBorder="1" applyAlignment="1" applyProtection="1">
      <alignment horizontal="center" vertical="center"/>
      <protection hidden="1"/>
    </xf>
    <xf numFmtId="0" fontId="40" fillId="35" borderId="154" xfId="1028" applyFont="1" applyFill="1" applyBorder="1" applyAlignment="1" applyProtection="1">
      <alignment horizontal="center" vertical="center"/>
      <protection locked="0"/>
    </xf>
    <xf numFmtId="3" fontId="40" fillId="35" borderId="126" xfId="1028" applyNumberFormat="1" applyFont="1" applyFill="1" applyBorder="1" applyAlignment="1" applyProtection="1">
      <alignment horizontal="center" vertical="center"/>
      <protection hidden="1"/>
    </xf>
    <xf numFmtId="3" fontId="40" fillId="35" borderId="155" xfId="1028" applyNumberFormat="1" applyFont="1" applyFill="1" applyBorder="1" applyAlignment="1" applyProtection="1">
      <alignment horizontal="center" vertical="center"/>
      <protection hidden="1"/>
    </xf>
    <xf numFmtId="3" fontId="40" fillId="35" borderId="156" xfId="1028" applyNumberFormat="1" applyFont="1" applyFill="1" applyBorder="1" applyAlignment="1" applyProtection="1">
      <alignment horizontal="center" vertical="center"/>
      <protection hidden="1"/>
    </xf>
    <xf numFmtId="3" fontId="40" fillId="35" borderId="150" xfId="1028" applyNumberFormat="1" applyFont="1" applyFill="1" applyBorder="1" applyAlignment="1" applyProtection="1">
      <alignment horizontal="center" vertical="center"/>
      <protection hidden="1"/>
    </xf>
    <xf numFmtId="3" fontId="40" fillId="35" borderId="30" xfId="1028" applyNumberFormat="1" applyFont="1" applyFill="1" applyBorder="1" applyAlignment="1" applyProtection="1">
      <alignment horizontal="center" vertical="center"/>
      <protection hidden="1"/>
    </xf>
    <xf numFmtId="1" fontId="40" fillId="35" borderId="150" xfId="1028" applyNumberFormat="1" applyFont="1" applyFill="1" applyBorder="1" applyAlignment="1" applyProtection="1">
      <alignment horizontal="center" vertical="center"/>
    </xf>
    <xf numFmtId="3" fontId="40" fillId="35" borderId="36" xfId="1028" applyNumberFormat="1" applyFont="1" applyFill="1" applyBorder="1" applyAlignment="1" applyProtection="1">
      <alignment horizontal="center" vertical="center"/>
      <protection hidden="1"/>
    </xf>
    <xf numFmtId="180" fontId="40" fillId="35" borderId="155" xfId="1028" applyNumberFormat="1" applyFont="1" applyFill="1" applyBorder="1" applyAlignment="1" applyProtection="1">
      <alignment horizontal="center" vertical="center"/>
    </xf>
    <xf numFmtId="180" fontId="40" fillId="35" borderId="127" xfId="1028" applyNumberFormat="1" applyFont="1" applyFill="1" applyBorder="1" applyAlignment="1" applyProtection="1">
      <alignment horizontal="center" vertical="center"/>
    </xf>
    <xf numFmtId="180" fontId="40" fillId="35" borderId="126" xfId="1028" applyNumberFormat="1" applyFont="1" applyFill="1" applyBorder="1" applyAlignment="1" applyProtection="1">
      <alignment horizontal="center" vertical="center"/>
    </xf>
    <xf numFmtId="180" fontId="40" fillId="35" borderId="156" xfId="1028" applyNumberFormat="1" applyFont="1" applyFill="1" applyBorder="1" applyAlignment="1" applyProtection="1">
      <alignment horizontal="center" vertical="center"/>
    </xf>
    <xf numFmtId="0" fontId="65" fillId="27" borderId="11" xfId="1030" applyFont="1" applyFill="1" applyBorder="1" applyAlignment="1" applyProtection="1">
      <alignment horizontal="center" vertical="center" wrapText="1"/>
    </xf>
    <xf numFmtId="0" fontId="109" fillId="27" borderId="11" xfId="1030" applyFont="1" applyFill="1" applyBorder="1" applyAlignment="1" applyProtection="1">
      <alignment horizontal="center" vertical="center" wrapText="1"/>
    </xf>
    <xf numFmtId="1" fontId="56" fillId="0" borderId="13" xfId="1027" applyNumberFormat="1" applyFont="1" applyFill="1" applyBorder="1" applyAlignment="1">
      <alignment horizontal="center" vertical="center" wrapText="1"/>
    </xf>
    <xf numFmtId="0" fontId="115" fillId="0" borderId="0" xfId="0" applyFont="1"/>
    <xf numFmtId="0" fontId="116" fillId="37" borderId="0" xfId="0" applyFont="1" applyFill="1" applyBorder="1" applyAlignment="1">
      <alignment horizontal="left" vertical="center" wrapText="1"/>
    </xf>
    <xf numFmtId="0" fontId="117" fillId="0" borderId="0" xfId="0" applyFont="1" applyFill="1" applyAlignment="1">
      <alignment horizontal="center"/>
    </xf>
    <xf numFmtId="2" fontId="118" fillId="0" borderId="0" xfId="0" applyNumberFormat="1" applyFont="1" applyFill="1" applyBorder="1" applyAlignment="1">
      <alignment horizontal="center"/>
    </xf>
    <xf numFmtId="2" fontId="118" fillId="0" borderId="0" xfId="0" applyNumberFormat="1" applyFont="1" applyFill="1" applyAlignment="1">
      <alignment horizontal="center"/>
    </xf>
    <xf numFmtId="2" fontId="118" fillId="38" borderId="0" xfId="0" applyNumberFormat="1" applyFont="1" applyFill="1" applyBorder="1" applyAlignment="1">
      <alignment horizontal="center"/>
    </xf>
    <xf numFmtId="2" fontId="118" fillId="0" borderId="0" xfId="0" applyNumberFormat="1" applyFont="1" applyFill="1" applyAlignment="1">
      <alignment horizontal="left"/>
    </xf>
    <xf numFmtId="1" fontId="118" fillId="31" borderId="0" xfId="0" applyNumberFormat="1" applyFont="1" applyFill="1" applyBorder="1" applyAlignment="1">
      <alignment horizontal="center"/>
    </xf>
    <xf numFmtId="0" fontId="118" fillId="38" borderId="0" xfId="0" applyFont="1" applyFill="1" applyBorder="1" applyAlignment="1">
      <alignment horizontal="center"/>
    </xf>
    <xf numFmtId="0" fontId="1" fillId="31" borderId="0" xfId="0" applyFont="1" applyFill="1" applyBorder="1"/>
    <xf numFmtId="1" fontId="119" fillId="31" borderId="243" xfId="0" applyNumberFormat="1" applyFont="1" applyFill="1" applyBorder="1" applyAlignment="1">
      <alignment horizontal="center" vertical="center"/>
    </xf>
    <xf numFmtId="2" fontId="119" fillId="38" borderId="243" xfId="0" applyNumberFormat="1" applyFont="1" applyFill="1" applyBorder="1" applyAlignment="1">
      <alignment horizontal="left" vertical="center"/>
    </xf>
    <xf numFmtId="2" fontId="119" fillId="31" borderId="243" xfId="0" applyNumberFormat="1" applyFont="1" applyFill="1" applyBorder="1" applyAlignment="1">
      <alignment horizontal="center" vertical="center"/>
    </xf>
    <xf numFmtId="0" fontId="0" fillId="0" borderId="0" xfId="0"/>
    <xf numFmtId="2" fontId="118" fillId="38" borderId="243" xfId="1039" applyNumberFormat="1" applyFont="1" applyFill="1" applyBorder="1" applyAlignment="1">
      <alignment horizontal="center" vertical="center"/>
    </xf>
    <xf numFmtId="14" fontId="1" fillId="0" borderId="0" xfId="0" applyNumberFormat="1" applyFont="1"/>
    <xf numFmtId="0" fontId="120" fillId="0" borderId="0" xfId="0" applyFont="1" applyAlignment="1">
      <alignment horizontal="left"/>
    </xf>
    <xf numFmtId="2" fontId="1" fillId="0" borderId="0" xfId="0" applyNumberFormat="1" applyFont="1"/>
    <xf numFmtId="9" fontId="121" fillId="32" borderId="0" xfId="1035" applyFont="1" applyFill="1"/>
    <xf numFmtId="1" fontId="119" fillId="31" borderId="0" xfId="0" applyNumberFormat="1" applyFont="1" applyFill="1" applyBorder="1" applyAlignment="1">
      <alignment horizontal="center" vertical="center"/>
    </xf>
    <xf numFmtId="2" fontId="119" fillId="38" borderId="0" xfId="0" applyNumberFormat="1" applyFont="1" applyFill="1" applyBorder="1" applyAlignment="1">
      <alignment horizontal="left" vertical="center"/>
    </xf>
    <xf numFmtId="2" fontId="119" fillId="31" borderId="0" xfId="0" applyNumberFormat="1" applyFont="1" applyFill="1" applyBorder="1" applyAlignment="1">
      <alignment horizontal="center" vertical="center"/>
    </xf>
    <xf numFmtId="2" fontId="118" fillId="38" borderId="0" xfId="1039" applyNumberFormat="1" applyFont="1" applyFill="1" applyBorder="1" applyAlignment="1">
      <alignment horizontal="center" vertical="center"/>
    </xf>
    <xf numFmtId="0" fontId="40" fillId="35" borderId="165" xfId="1028" applyFont="1" applyFill="1" applyBorder="1" applyAlignment="1" applyProtection="1">
      <alignment horizontal="center" vertical="center"/>
      <protection locked="0"/>
    </xf>
    <xf numFmtId="0" fontId="45" fillId="0" borderId="165" xfId="1028" applyFont="1" applyFill="1" applyBorder="1" applyAlignment="1" applyProtection="1">
      <alignment horizontal="center" vertical="center" wrapText="1"/>
      <protection locked="0"/>
    </xf>
    <xf numFmtId="0" fontId="21" fillId="35" borderId="87" xfId="1028" applyFont="1" applyFill="1" applyBorder="1" applyAlignment="1" applyProtection="1">
      <alignment horizontal="center" vertical="center" wrapText="1"/>
      <protection locked="0"/>
    </xf>
    <xf numFmtId="0" fontId="40" fillId="0" borderId="165" xfId="1028" applyFont="1" applyFill="1" applyBorder="1" applyAlignment="1" applyProtection="1">
      <alignment horizontal="center" vertical="center"/>
      <protection locked="0"/>
    </xf>
    <xf numFmtId="0" fontId="21" fillId="0" borderId="162" xfId="1028" applyFont="1" applyFill="1" applyBorder="1" applyAlignment="1" applyProtection="1">
      <alignment horizontal="center" vertical="center" wrapText="1"/>
      <protection locked="0"/>
    </xf>
    <xf numFmtId="0" fontId="21" fillId="0" borderId="53" xfId="1028" applyFont="1" applyFill="1" applyBorder="1" applyAlignment="1" applyProtection="1">
      <alignment horizontal="center" vertical="center" wrapText="1"/>
      <protection locked="0"/>
    </xf>
    <xf numFmtId="0" fontId="111" fillId="24" borderId="87" xfId="1028" applyFont="1" applyFill="1" applyBorder="1" applyAlignment="1" applyProtection="1">
      <alignment horizontal="center" vertical="center" wrapText="1"/>
      <protection locked="0"/>
    </xf>
    <xf numFmtId="0" fontId="111" fillId="24" borderId="165" xfId="1028" applyFont="1" applyFill="1" applyBorder="1" applyAlignment="1" applyProtection="1">
      <alignment horizontal="center" vertical="center" wrapText="1"/>
      <protection locked="0"/>
    </xf>
    <xf numFmtId="0" fontId="40" fillId="0" borderId="167" xfId="1028" applyFont="1" applyFill="1" applyBorder="1" applyAlignment="1" applyProtection="1">
      <alignment horizontal="center" vertical="center"/>
      <protection locked="0"/>
    </xf>
    <xf numFmtId="0" fontId="45" fillId="0" borderId="145" xfId="1028" applyFont="1" applyFill="1" applyBorder="1" applyAlignment="1" applyProtection="1">
      <alignment horizontal="center" vertical="center"/>
      <protection locked="0"/>
    </xf>
    <xf numFmtId="0" fontId="45" fillId="0" borderId="146" xfId="1028" applyFont="1" applyFill="1" applyBorder="1" applyAlignment="1" applyProtection="1">
      <alignment horizontal="center" vertical="center"/>
      <protection locked="0"/>
    </xf>
    <xf numFmtId="0" fontId="45" fillId="0" borderId="154" xfId="1028" applyFont="1" applyFill="1" applyBorder="1" applyAlignment="1" applyProtection="1">
      <alignment horizontal="center" vertical="center"/>
      <protection locked="0"/>
    </xf>
    <xf numFmtId="0" fontId="45" fillId="0" borderId="126" xfId="1028" applyFont="1" applyFill="1" applyBorder="1" applyAlignment="1" applyProtection="1">
      <alignment horizontal="center" vertical="center"/>
      <protection locked="0"/>
    </xf>
    <xf numFmtId="0" fontId="21" fillId="0" borderId="87" xfId="1028" applyFont="1" applyFill="1" applyBorder="1" applyAlignment="1" applyProtection="1">
      <alignment horizontal="center" vertical="center" wrapText="1"/>
      <protection locked="0"/>
    </xf>
    <xf numFmtId="0" fontId="45" fillId="0" borderId="141" xfId="1028" applyFont="1" applyFill="1" applyBorder="1" applyAlignment="1" applyProtection="1">
      <alignment horizontal="center" vertical="center" wrapText="1"/>
      <protection locked="0"/>
    </xf>
    <xf numFmtId="0" fontId="45" fillId="0" borderId="144" xfId="1028" applyFont="1" applyFill="1" applyBorder="1" applyAlignment="1" applyProtection="1">
      <alignment horizontal="center" vertical="center" wrapText="1"/>
      <protection locked="0"/>
    </xf>
    <xf numFmtId="0" fontId="48" fillId="0" borderId="167" xfId="1028" applyFont="1" applyFill="1" applyBorder="1" applyAlignment="1" applyProtection="1">
      <alignment horizontal="center" vertical="center" textRotation="90" wrapText="1"/>
      <protection locked="0"/>
    </xf>
    <xf numFmtId="0" fontId="48" fillId="0" borderId="59" xfId="1028" applyFont="1" applyFill="1" applyBorder="1" applyAlignment="1" applyProtection="1">
      <alignment horizontal="center" vertical="center" textRotation="90" wrapText="1"/>
      <protection locked="0"/>
    </xf>
    <xf numFmtId="0" fontId="48" fillId="0" borderId="157" xfId="1028" applyFont="1" applyFill="1" applyBorder="1" applyAlignment="1" applyProtection="1">
      <alignment horizontal="center" vertical="center" textRotation="90" wrapText="1"/>
      <protection locked="0"/>
    </xf>
    <xf numFmtId="0" fontId="21" fillId="35" borderId="98" xfId="1028" applyFont="1" applyFill="1" applyBorder="1" applyAlignment="1" applyProtection="1">
      <alignment horizontal="center" vertical="center" wrapText="1"/>
      <protection locked="0"/>
    </xf>
    <xf numFmtId="0" fontId="21" fillId="35" borderId="98" xfId="1028" applyFont="1" applyFill="1" applyBorder="1" applyAlignment="1" applyProtection="1">
      <alignment horizontal="center" vertical="center"/>
      <protection locked="0"/>
    </xf>
    <xf numFmtId="0" fontId="21" fillId="35" borderId="64" xfId="1028" applyFont="1" applyFill="1" applyBorder="1" applyAlignment="1" applyProtection="1">
      <alignment horizontal="center" vertical="center"/>
      <protection locked="0"/>
    </xf>
    <xf numFmtId="0" fontId="21" fillId="35" borderId="88" xfId="1028" applyFont="1" applyFill="1" applyBorder="1" applyAlignment="1" applyProtection="1">
      <alignment horizontal="center" vertical="center"/>
      <protection locked="0"/>
    </xf>
    <xf numFmtId="0" fontId="112" fillId="36" borderId="42" xfId="1028" applyFont="1" applyFill="1" applyBorder="1" applyAlignment="1" applyProtection="1">
      <alignment horizontal="center" vertical="center" wrapText="1"/>
      <protection locked="0"/>
    </xf>
    <xf numFmtId="0" fontId="112" fillId="36" borderId="53" xfId="1028" applyFont="1" applyFill="1" applyBorder="1" applyAlignment="1" applyProtection="1">
      <alignment horizontal="center" vertical="center" wrapText="1"/>
      <protection locked="0"/>
    </xf>
    <xf numFmtId="0" fontId="45" fillId="35" borderId="165" xfId="1028" applyFont="1" applyFill="1" applyBorder="1" applyAlignment="1" applyProtection="1">
      <alignment horizontal="center" vertical="center" wrapText="1"/>
      <protection locked="0"/>
    </xf>
    <xf numFmtId="0" fontId="21" fillId="0" borderId="265" xfId="1028" applyFont="1" applyFill="1" applyBorder="1" applyAlignment="1" applyProtection="1">
      <alignment horizontal="center" vertical="center" wrapText="1"/>
      <protection locked="0"/>
    </xf>
    <xf numFmtId="0" fontId="21" fillId="0" borderId="266" xfId="1028" applyFont="1" applyFill="1" applyBorder="1" applyAlignment="1" applyProtection="1">
      <alignment horizontal="center" vertical="center" wrapText="1"/>
      <protection locked="0"/>
    </xf>
    <xf numFmtId="0" fontId="21" fillId="0" borderId="191" xfId="1028" applyFont="1" applyFill="1" applyBorder="1" applyAlignment="1" applyProtection="1">
      <alignment horizontal="center" vertical="center" wrapText="1"/>
      <protection locked="0"/>
    </xf>
    <xf numFmtId="0" fontId="21" fillId="0" borderId="192" xfId="1028" applyFont="1" applyFill="1" applyBorder="1" applyAlignment="1" applyProtection="1">
      <alignment horizontal="center" vertical="center" wrapText="1"/>
      <protection locked="0"/>
    </xf>
    <xf numFmtId="0" fontId="21" fillId="0" borderId="267" xfId="1028" applyFont="1" applyFill="1" applyBorder="1" applyAlignment="1" applyProtection="1">
      <alignment horizontal="center" vertical="center" wrapText="1"/>
      <protection locked="0"/>
    </xf>
    <xf numFmtId="0" fontId="21" fillId="0" borderId="268" xfId="1028" applyFont="1" applyFill="1" applyBorder="1" applyAlignment="1" applyProtection="1">
      <alignment horizontal="center" vertical="center" wrapText="1"/>
      <protection locked="0"/>
    </xf>
    <xf numFmtId="0" fontId="41" fillId="0" borderId="141" xfId="0" applyFont="1" applyFill="1" applyBorder="1" applyAlignment="1" applyProtection="1">
      <alignment horizontal="center" vertical="center"/>
      <protection locked="0"/>
    </xf>
    <xf numFmtId="0" fontId="21" fillId="0" borderId="162" xfId="1028" applyFont="1" applyFill="1" applyBorder="1" applyAlignment="1" applyProtection="1">
      <alignment horizontal="center" vertical="center"/>
      <protection locked="0"/>
    </xf>
    <xf numFmtId="0" fontId="21" fillId="0" borderId="157" xfId="1028" applyFont="1" applyFill="1" applyBorder="1" applyAlignment="1" applyProtection="1">
      <alignment horizontal="center" vertical="center"/>
      <protection locked="0"/>
    </xf>
    <xf numFmtId="0" fontId="21" fillId="0" borderId="98" xfId="1028" applyFont="1" applyFill="1" applyBorder="1" applyAlignment="1" applyProtection="1">
      <alignment horizontal="center" vertical="center"/>
      <protection locked="0"/>
    </xf>
    <xf numFmtId="0" fontId="21" fillId="0" borderId="64" xfId="1028" applyFont="1" applyFill="1" applyBorder="1" applyAlignment="1" applyProtection="1">
      <alignment horizontal="center" vertical="center"/>
      <protection locked="0"/>
    </xf>
    <xf numFmtId="0" fontId="21" fillId="0" borderId="88" xfId="1028" applyFont="1" applyFill="1" applyBorder="1" applyAlignment="1" applyProtection="1">
      <alignment horizontal="center" vertical="center"/>
      <protection locked="0"/>
    </xf>
    <xf numFmtId="0" fontId="45" fillId="24" borderId="42" xfId="1028" applyFont="1" applyFill="1" applyBorder="1" applyAlignment="1" applyProtection="1">
      <alignment horizontal="center" vertical="center" wrapText="1"/>
      <protection locked="0"/>
    </xf>
    <xf numFmtId="0" fontId="45" fillId="24" borderId="53" xfId="1028" applyFont="1" applyFill="1" applyBorder="1" applyAlignment="1" applyProtection="1">
      <alignment horizontal="center" vertical="center" wrapText="1"/>
      <protection locked="0"/>
    </xf>
    <xf numFmtId="0" fontId="46" fillId="0" borderId="87" xfId="1028" applyFont="1" applyFill="1" applyBorder="1" applyAlignment="1" applyProtection="1">
      <alignment horizontal="center" vertical="center" wrapText="1"/>
      <protection locked="0"/>
    </xf>
    <xf numFmtId="0" fontId="45" fillId="24" borderId="165" xfId="1028" applyFont="1" applyFill="1" applyBorder="1" applyAlignment="1" applyProtection="1">
      <alignment horizontal="center" vertical="center" wrapText="1"/>
      <protection locked="0"/>
    </xf>
    <xf numFmtId="0" fontId="21" fillId="0" borderId="53" xfId="1028" applyFont="1" applyFill="1" applyBorder="1" applyAlignment="1" applyProtection="1">
      <alignment horizontal="center" vertical="center"/>
      <protection locked="0"/>
    </xf>
    <xf numFmtId="0" fontId="21" fillId="0" borderId="78" xfId="1028" applyFont="1" applyFill="1" applyBorder="1" applyAlignment="1" applyProtection="1">
      <alignment horizontal="center" vertical="center"/>
      <protection locked="0"/>
    </xf>
    <xf numFmtId="0" fontId="21" fillId="0" borderId="87" xfId="1028" applyFont="1" applyFill="1" applyBorder="1" applyAlignment="1" applyProtection="1">
      <alignment horizontal="center" vertical="center"/>
      <protection locked="0"/>
    </xf>
    <xf numFmtId="0" fontId="45" fillId="24" borderId="271" xfId="1028" applyFont="1" applyFill="1" applyBorder="1" applyAlignment="1" applyProtection="1">
      <alignment horizontal="center" vertical="center" wrapText="1"/>
      <protection locked="0"/>
    </xf>
    <xf numFmtId="0" fontId="45" fillId="24" borderId="272" xfId="1028" applyFont="1" applyFill="1" applyBorder="1" applyAlignment="1" applyProtection="1">
      <alignment horizontal="center" vertical="center" wrapText="1"/>
      <protection locked="0"/>
    </xf>
    <xf numFmtId="0" fontId="45" fillId="24" borderId="275" xfId="1028" applyFont="1" applyFill="1" applyBorder="1" applyAlignment="1" applyProtection="1">
      <alignment horizontal="center" vertical="center" wrapText="1"/>
      <protection locked="0"/>
    </xf>
    <xf numFmtId="0" fontId="45" fillId="24" borderId="162" xfId="1028" applyFont="1" applyFill="1" applyBorder="1" applyAlignment="1" applyProtection="1">
      <alignment horizontal="center" vertical="center" wrapText="1"/>
      <protection locked="0"/>
    </xf>
    <xf numFmtId="0" fontId="45" fillId="24" borderId="276" xfId="1028" applyFont="1" applyFill="1" applyBorder="1" applyAlignment="1" applyProtection="1">
      <alignment horizontal="center" vertical="center" wrapText="1"/>
      <protection locked="0"/>
    </xf>
    <xf numFmtId="0" fontId="45" fillId="24" borderId="277" xfId="1028" applyFont="1" applyFill="1" applyBorder="1" applyAlignment="1" applyProtection="1">
      <alignment horizontal="center" vertical="center" wrapText="1"/>
      <protection locked="0"/>
    </xf>
    <xf numFmtId="0" fontId="21" fillId="0" borderId="42" xfId="1028" applyFont="1" applyFill="1" applyBorder="1" applyAlignment="1" applyProtection="1">
      <alignment horizontal="center" vertical="center"/>
      <protection locked="0"/>
    </xf>
    <xf numFmtId="0" fontId="21" fillId="0" borderId="91" xfId="1028" applyFont="1" applyFill="1" applyBorder="1" applyAlignment="1" applyProtection="1">
      <alignment horizontal="center" vertical="center" wrapText="1"/>
      <protection locked="0"/>
    </xf>
    <xf numFmtId="0" fontId="21" fillId="0" borderId="96" xfId="1028" applyFont="1" applyFill="1" applyBorder="1" applyAlignment="1" applyProtection="1">
      <alignment horizontal="center" vertical="center" wrapText="1"/>
      <protection locked="0"/>
    </xf>
    <xf numFmtId="0" fontId="21" fillId="0" borderId="22" xfId="1028" applyFont="1" applyFill="1" applyBorder="1" applyAlignment="1" applyProtection="1">
      <alignment horizontal="center" vertical="center" wrapText="1"/>
      <protection locked="0"/>
    </xf>
    <xf numFmtId="0" fontId="21" fillId="0" borderId="39" xfId="1028" applyFont="1" applyFill="1" applyBorder="1" applyAlignment="1" applyProtection="1">
      <alignment horizontal="center" vertical="center" wrapText="1"/>
      <protection locked="0"/>
    </xf>
    <xf numFmtId="0" fontId="21" fillId="0" borderId="37" xfId="1028" applyFont="1" applyFill="1" applyBorder="1" applyAlignment="1" applyProtection="1">
      <alignment horizontal="center" vertical="center" wrapText="1"/>
      <protection locked="0"/>
    </xf>
    <xf numFmtId="0" fontId="21" fillId="0" borderId="40" xfId="1028" applyFont="1" applyFill="1" applyBorder="1" applyAlignment="1" applyProtection="1">
      <alignment horizontal="center" vertical="center" wrapText="1"/>
      <protection locked="0"/>
    </xf>
    <xf numFmtId="0" fontId="21" fillId="0" borderId="91" xfId="1028" applyFont="1" applyFill="1" applyBorder="1" applyAlignment="1" applyProtection="1">
      <alignment horizontal="center" vertical="center"/>
      <protection locked="0"/>
    </xf>
    <xf numFmtId="0" fontId="21" fillId="0" borderId="96" xfId="1028" applyFont="1" applyFill="1" applyBorder="1" applyAlignment="1" applyProtection="1">
      <alignment horizontal="center" vertical="center"/>
      <protection locked="0"/>
    </xf>
    <xf numFmtId="0" fontId="21" fillId="0" borderId="22" xfId="1028" applyFont="1" applyFill="1" applyBorder="1" applyAlignment="1" applyProtection="1">
      <alignment horizontal="center" vertical="center"/>
      <protection locked="0"/>
    </xf>
    <xf numFmtId="0" fontId="21" fillId="0" borderId="39" xfId="1028" applyFont="1" applyFill="1" applyBorder="1" applyAlignment="1" applyProtection="1">
      <alignment horizontal="center" vertical="center"/>
      <protection locked="0"/>
    </xf>
    <xf numFmtId="0" fontId="21" fillId="0" borderId="37" xfId="1028" applyFont="1" applyFill="1" applyBorder="1" applyAlignment="1" applyProtection="1">
      <alignment horizontal="center" vertical="center"/>
      <protection locked="0"/>
    </xf>
    <xf numFmtId="0" fontId="21" fillId="0" borderId="40" xfId="1028" applyFont="1" applyFill="1" applyBorder="1" applyAlignment="1" applyProtection="1">
      <alignment horizontal="center" vertical="center"/>
      <protection locked="0"/>
    </xf>
    <xf numFmtId="0" fontId="21" fillId="24" borderId="53" xfId="1028" applyFont="1" applyFill="1" applyBorder="1" applyAlignment="1" applyProtection="1">
      <alignment horizontal="center" vertical="center"/>
      <protection locked="0"/>
    </xf>
    <xf numFmtId="0" fontId="116" fillId="37" borderId="0" xfId="0" applyFont="1" applyFill="1" applyBorder="1" applyAlignment="1">
      <alignment horizontal="left" vertical="center" wrapText="1"/>
    </xf>
    <xf numFmtId="0" fontId="122" fillId="37" borderId="0" xfId="0" applyFont="1" applyFill="1" applyBorder="1" applyAlignment="1">
      <alignment horizontal="left" vertical="center" wrapText="1"/>
    </xf>
    <xf numFmtId="0" fontId="111" fillId="35" borderId="64" xfId="1028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 applyProtection="1">
      <alignment horizontal="right" vertical="center"/>
      <protection locked="0"/>
    </xf>
    <xf numFmtId="0" fontId="40" fillId="0" borderId="145" xfId="1028" applyFont="1" applyFill="1" applyBorder="1" applyAlignment="1" applyProtection="1">
      <alignment horizontal="center" vertical="center"/>
      <protection locked="0"/>
    </xf>
    <xf numFmtId="0" fontId="37" fillId="0" borderId="0" xfId="1028" applyFont="1" applyFill="1" applyBorder="1" applyAlignment="1" applyProtection="1">
      <alignment horizontal="center"/>
      <protection locked="0"/>
    </xf>
    <xf numFmtId="0" fontId="40" fillId="27" borderId="165" xfId="1028" applyFont="1" applyFill="1" applyBorder="1" applyAlignment="1" applyProtection="1">
      <alignment horizontal="center" vertical="center"/>
      <protection locked="0"/>
    </xf>
    <xf numFmtId="0" fontId="41" fillId="29" borderId="165" xfId="0" applyFont="1" applyFill="1" applyBorder="1" applyAlignment="1" applyProtection="1">
      <alignment horizontal="center" vertical="center"/>
      <protection locked="0"/>
    </xf>
    <xf numFmtId="0" fontId="42" fillId="0" borderId="64" xfId="1028" applyFont="1" applyFill="1" applyBorder="1" applyAlignment="1" applyProtection="1">
      <alignment horizontal="center" vertical="center"/>
      <protection locked="0"/>
    </xf>
    <xf numFmtId="0" fontId="43" fillId="0" borderId="165" xfId="1028" applyFont="1" applyFill="1" applyBorder="1" applyAlignment="1" applyProtection="1">
      <alignment horizontal="center" vertical="center" wrapText="1"/>
      <protection locked="0"/>
    </xf>
    <xf numFmtId="0" fontId="43" fillId="0" borderId="165" xfId="1028" applyFont="1" applyFill="1" applyBorder="1" applyAlignment="1" applyProtection="1">
      <alignment horizontal="center" vertical="center"/>
      <protection locked="0"/>
    </xf>
    <xf numFmtId="0" fontId="65" fillId="29" borderId="11" xfId="1030" applyFont="1" applyFill="1" applyBorder="1" applyAlignment="1" applyProtection="1">
      <alignment horizontal="center" vertical="center"/>
    </xf>
    <xf numFmtId="0" fontId="66" fillId="29" borderId="11" xfId="1030" applyFont="1" applyFill="1" applyBorder="1" applyAlignment="1" applyProtection="1">
      <alignment horizontal="center" vertical="center" wrapText="1"/>
    </xf>
    <xf numFmtId="0" fontId="65" fillId="27" borderId="11" xfId="1030" applyFont="1" applyFill="1" applyBorder="1" applyAlignment="1" applyProtection="1">
      <alignment horizontal="center" vertical="center" wrapText="1"/>
    </xf>
    <xf numFmtId="0" fontId="109" fillId="27" borderId="11" xfId="1030" applyFont="1" applyFill="1" applyBorder="1" applyAlignment="1" applyProtection="1">
      <alignment horizontal="center" vertical="center" wrapText="1"/>
    </xf>
    <xf numFmtId="0" fontId="109" fillId="27" borderId="103" xfId="1030" applyFont="1" applyFill="1" applyBorder="1" applyAlignment="1" applyProtection="1">
      <alignment horizontal="center" vertical="center" wrapText="1"/>
    </xf>
    <xf numFmtId="0" fontId="65" fillId="25" borderId="11" xfId="1030" applyFont="1" applyFill="1" applyBorder="1" applyAlignment="1" applyProtection="1">
      <alignment horizontal="center" vertical="center"/>
    </xf>
    <xf numFmtId="0" fontId="63" fillId="27" borderId="11" xfId="1030" applyFont="1" applyFill="1" applyBorder="1" applyAlignment="1" applyProtection="1">
      <alignment horizontal="center" vertical="center"/>
    </xf>
    <xf numFmtId="0" fontId="76" fillId="29" borderId="11" xfId="1027" applyFont="1" applyFill="1" applyBorder="1" applyAlignment="1">
      <alignment horizontal="center" vertical="center" wrapText="1"/>
    </xf>
    <xf numFmtId="0" fontId="73" fillId="30" borderId="11" xfId="1027" applyFont="1" applyFill="1" applyBorder="1" applyAlignment="1">
      <alignment horizontal="center" vertical="center" wrapText="1"/>
    </xf>
    <xf numFmtId="0" fontId="56" fillId="0" borderId="11" xfId="1027" applyFont="1" applyBorder="1" applyAlignment="1">
      <alignment horizontal="center" vertical="center" wrapText="1"/>
    </xf>
    <xf numFmtId="0" fontId="58" fillId="0" borderId="0" xfId="1027" applyFont="1" applyFill="1" applyBorder="1" applyAlignment="1">
      <alignment horizontal="center" vertical="center" wrapText="1"/>
    </xf>
    <xf numFmtId="0" fontId="23" fillId="0" borderId="58" xfId="1026" applyFont="1" applyFill="1" applyBorder="1" applyAlignment="1">
      <alignment horizontal="left" vertical="center" wrapText="1"/>
    </xf>
    <xf numFmtId="0" fontId="23" fillId="0" borderId="47" xfId="1026" applyFont="1" applyFill="1" applyBorder="1" applyAlignment="1">
      <alignment horizontal="left" vertical="center" wrapText="1"/>
    </xf>
    <xf numFmtId="0" fontId="15" fillId="25" borderId="11" xfId="1026" applyFont="1" applyFill="1" applyBorder="1" applyAlignment="1">
      <alignment horizontal="center" vertical="center" wrapText="1"/>
    </xf>
    <xf numFmtId="166" fontId="15" fillId="25" borderId="11" xfId="1026" applyNumberFormat="1" applyFont="1" applyFill="1" applyBorder="1" applyAlignment="1">
      <alignment horizontal="center" vertical="center" wrapText="1"/>
    </xf>
    <xf numFmtId="0" fontId="23" fillId="0" borderId="11" xfId="1026" applyFont="1" applyFill="1" applyBorder="1" applyAlignment="1">
      <alignment horizontal="left" vertical="center" wrapText="1"/>
    </xf>
    <xf numFmtId="0" fontId="23" fillId="0" borderId="38" xfId="1026" applyFont="1" applyFill="1" applyBorder="1" applyAlignment="1">
      <alignment horizontal="left" vertical="center" wrapText="1"/>
    </xf>
    <xf numFmtId="0" fontId="23" fillId="0" borderId="17" xfId="1026" applyFont="1" applyFill="1" applyBorder="1" applyAlignment="1">
      <alignment horizontal="left" vertical="center" wrapText="1"/>
    </xf>
    <xf numFmtId="0" fontId="23" fillId="0" borderId="47" xfId="1026" applyFont="1" applyFill="1" applyBorder="1" applyAlignment="1">
      <alignment vertical="center" wrapText="1"/>
    </xf>
    <xf numFmtId="0" fontId="23" fillId="0" borderId="17" xfId="1026" applyFont="1" applyFill="1" applyBorder="1" applyAlignment="1">
      <alignment vertical="center" wrapText="1"/>
    </xf>
    <xf numFmtId="0" fontId="23" fillId="0" borderId="263" xfId="1026" applyFont="1" applyFill="1" applyBorder="1" applyAlignment="1">
      <alignment horizontal="left" vertical="center" wrapText="1"/>
    </xf>
    <xf numFmtId="0" fontId="17" fillId="25" borderId="282" xfId="1026" applyFont="1" applyFill="1" applyBorder="1" applyAlignment="1">
      <alignment horizontal="center" vertical="center" textRotation="1" wrapText="1"/>
    </xf>
    <xf numFmtId="0" fontId="17" fillId="25" borderId="283" xfId="1026" applyFont="1" applyFill="1" applyBorder="1" applyAlignment="1">
      <alignment horizontal="center" vertical="center" textRotation="1" wrapText="1"/>
    </xf>
    <xf numFmtId="0" fontId="16" fillId="25" borderId="264" xfId="1026" applyFont="1" applyFill="1" applyBorder="1" applyAlignment="1">
      <alignment horizontal="center" vertical="center" textRotation="90" wrapText="1"/>
    </xf>
    <xf numFmtId="0" fontId="13" fillId="25" borderId="11" xfId="0" applyFont="1" applyFill="1" applyBorder="1" applyAlignment="1">
      <alignment horizontal="center" vertical="center" wrapText="1"/>
    </xf>
    <xf numFmtId="0" fontId="15" fillId="25" borderId="11" xfId="0" applyFont="1" applyFill="1" applyBorder="1" applyAlignment="1">
      <alignment horizontal="center" vertical="center" wrapText="1"/>
    </xf>
    <xf numFmtId="0" fontId="15" fillId="25" borderId="16" xfId="0" applyFont="1" applyFill="1" applyBorder="1" applyAlignment="1">
      <alignment vertical="center" wrapText="1"/>
    </xf>
    <xf numFmtId="0" fontId="15" fillId="25" borderId="47" xfId="0" applyFont="1" applyFill="1" applyBorder="1" applyAlignment="1">
      <alignment vertical="center" wrapText="1"/>
    </xf>
    <xf numFmtId="0" fontId="13" fillId="25" borderId="15" xfId="0" applyFont="1" applyFill="1" applyBorder="1" applyAlignment="1">
      <alignment horizontal="center" vertical="center" wrapText="1"/>
    </xf>
    <xf numFmtId="0" fontId="15" fillId="25" borderId="47" xfId="1026" applyFont="1" applyFill="1" applyBorder="1" applyAlignment="1">
      <alignment horizontal="center" vertical="center" wrapText="1"/>
    </xf>
    <xf numFmtId="0" fontId="105" fillId="25" borderId="11" xfId="1026" applyFont="1" applyFill="1" applyBorder="1" applyAlignment="1">
      <alignment horizontal="center" vertical="center" wrapText="1"/>
    </xf>
    <xf numFmtId="1" fontId="15" fillId="25" borderId="11" xfId="1026" applyNumberFormat="1" applyFont="1" applyFill="1" applyBorder="1" applyAlignment="1">
      <alignment horizontal="center" vertical="center" wrapText="1"/>
    </xf>
    <xf numFmtId="0" fontId="15" fillId="25" borderId="11" xfId="1026" applyFont="1" applyFill="1" applyBorder="1" applyAlignment="1">
      <alignment horizontal="center" vertical="center" textRotation="90" wrapText="1"/>
    </xf>
    <xf numFmtId="0" fontId="19" fillId="25" borderId="11" xfId="1026" applyFont="1" applyFill="1" applyBorder="1" applyAlignment="1">
      <alignment horizontal="center" vertical="center" wrapText="1"/>
    </xf>
    <xf numFmtId="0" fontId="18" fillId="25" borderId="143" xfId="1026" applyFont="1" applyFill="1" applyBorder="1" applyAlignment="1">
      <alignment horizontal="center" vertical="center" wrapText="1"/>
    </xf>
    <xf numFmtId="0" fontId="19" fillId="25" borderId="21" xfId="0" applyFont="1" applyFill="1" applyBorder="1" applyAlignment="1">
      <alignment horizontal="center" vertical="center" wrapText="1"/>
    </xf>
    <xf numFmtId="0" fontId="18" fillId="25" borderId="141" xfId="1026" applyFont="1" applyFill="1" applyBorder="1" applyAlignment="1">
      <alignment horizontal="center" vertical="center" wrapText="1"/>
    </xf>
    <xf numFmtId="0" fontId="1" fillId="25" borderId="52" xfId="1029" applyFont="1" applyFill="1" applyBorder="1" applyAlignment="1">
      <alignment horizontal="center" vertical="center"/>
    </xf>
    <xf numFmtId="0" fontId="8" fillId="25" borderId="171" xfId="1026" applyFont="1" applyFill="1" applyBorder="1" applyAlignment="1">
      <alignment horizontal="center" vertical="center" wrapText="1"/>
    </xf>
    <xf numFmtId="0" fontId="1" fillId="25" borderId="115" xfId="1029" applyFont="1" applyFill="1" applyBorder="1" applyAlignment="1">
      <alignment horizontal="center" vertical="center"/>
    </xf>
    <xf numFmtId="0" fontId="17" fillId="25" borderId="141" xfId="1026" applyFont="1" applyFill="1" applyBorder="1" applyAlignment="1">
      <alignment horizontal="center" vertical="center" textRotation="1" wrapText="1"/>
    </xf>
    <xf numFmtId="0" fontId="8" fillId="25" borderId="163" xfId="1026" applyFont="1" applyFill="1" applyBorder="1" applyAlignment="1">
      <alignment horizontal="center" vertical="center" wrapText="1"/>
    </xf>
    <xf numFmtId="0" fontId="8" fillId="25" borderId="172" xfId="1026" applyFont="1" applyFill="1" applyBorder="1" applyAlignment="1">
      <alignment horizontal="center" vertical="center" wrapText="1"/>
    </xf>
    <xf numFmtId="0" fontId="16" fillId="25" borderId="184" xfId="1026" applyFont="1" applyFill="1" applyBorder="1" applyAlignment="1">
      <alignment horizontal="center" vertical="center" textRotation="90" wrapText="1"/>
    </xf>
    <xf numFmtId="0" fontId="16" fillId="25" borderId="39" xfId="1026" applyFont="1" applyFill="1" applyBorder="1" applyAlignment="1">
      <alignment horizontal="center" vertical="center" textRotation="90" wrapText="1"/>
    </xf>
    <xf numFmtId="0" fontId="16" fillId="25" borderId="132" xfId="1026" applyFont="1" applyFill="1" applyBorder="1" applyAlignment="1">
      <alignment horizontal="center" vertical="center" textRotation="90" wrapText="1"/>
    </xf>
    <xf numFmtId="0" fontId="18" fillId="25" borderId="12" xfId="1026" applyFont="1" applyFill="1" applyBorder="1" applyAlignment="1">
      <alignment horizontal="center" vertical="center" wrapText="1"/>
    </xf>
    <xf numFmtId="0" fontId="16" fillId="25" borderId="12" xfId="1026" applyFont="1" applyFill="1" applyBorder="1" applyAlignment="1">
      <alignment horizontal="center" vertical="center" textRotation="90" wrapText="1"/>
    </xf>
    <xf numFmtId="0" fontId="16" fillId="25" borderId="0" xfId="1026" applyFont="1" applyFill="1" applyBorder="1" applyAlignment="1">
      <alignment horizontal="center" vertical="center" textRotation="90" wrapText="1"/>
    </xf>
    <xf numFmtId="0" fontId="17" fillId="25" borderId="184" xfId="1026" applyFont="1" applyFill="1" applyBorder="1" applyAlignment="1">
      <alignment horizontal="center" vertical="center" wrapText="1"/>
    </xf>
    <xf numFmtId="0" fontId="7" fillId="24" borderId="0" xfId="1026" applyFont="1" applyFill="1" applyBorder="1" applyAlignment="1">
      <alignment horizontal="center" vertical="center"/>
    </xf>
    <xf numFmtId="14" fontId="11" fillId="33" borderId="0" xfId="1026" applyNumberFormat="1" applyFont="1" applyFill="1" applyBorder="1" applyAlignment="1">
      <alignment horizontal="center" vertical="center"/>
    </xf>
    <xf numFmtId="166" fontId="15" fillId="25" borderId="47" xfId="1040" applyNumberFormat="1" applyFont="1" applyFill="1" applyBorder="1" applyAlignment="1" applyProtection="1">
      <alignment horizontal="center" vertical="center" wrapText="1"/>
    </xf>
    <xf numFmtId="166" fontId="15" fillId="25" borderId="17" xfId="1040" applyNumberFormat="1" applyFont="1" applyFill="1" applyBorder="1" applyAlignment="1" applyProtection="1">
      <alignment horizontal="center" vertical="center" wrapText="1"/>
    </xf>
    <xf numFmtId="166" fontId="15" fillId="25" borderId="15" xfId="1040" applyNumberFormat="1" applyFont="1" applyFill="1" applyBorder="1" applyAlignment="1" applyProtection="1">
      <alignment horizontal="center" vertical="center" wrapText="1"/>
    </xf>
    <xf numFmtId="1" fontId="4" fillId="25" borderId="11" xfId="1026" applyNumberFormat="1" applyFont="1" applyFill="1" applyBorder="1" applyAlignment="1">
      <alignment horizontal="center" vertical="center" wrapText="1"/>
    </xf>
    <xf numFmtId="166" fontId="4" fillId="25" borderId="11" xfId="1026" applyNumberFormat="1" applyFont="1" applyFill="1" applyBorder="1" applyAlignment="1">
      <alignment horizontal="center" vertical="center" wrapText="1"/>
    </xf>
    <xf numFmtId="166" fontId="12" fillId="25" borderId="15" xfId="1040" applyNumberFormat="1" applyFont="1" applyFill="1" applyBorder="1" applyAlignment="1" applyProtection="1">
      <alignment horizontal="center" vertical="center"/>
    </xf>
    <xf numFmtId="0" fontId="23" fillId="0" borderId="14" xfId="1026" applyFont="1" applyFill="1" applyBorder="1" applyAlignment="1">
      <alignment horizontal="left" vertical="center" wrapText="1"/>
    </xf>
    <xf numFmtId="0" fontId="19" fillId="25" borderId="47" xfId="1026" applyFont="1" applyFill="1" applyBorder="1" applyAlignment="1">
      <alignment horizontal="center" vertical="center" wrapText="1"/>
    </xf>
    <xf numFmtId="0" fontId="12" fillId="25" borderId="11" xfId="1026" applyFont="1" applyFill="1" applyBorder="1" applyAlignment="1">
      <alignment horizontal="center" vertical="center" wrapText="1"/>
    </xf>
    <xf numFmtId="0" fontId="12" fillId="25" borderId="11" xfId="1026" applyFont="1" applyFill="1" applyBorder="1" applyAlignment="1">
      <alignment horizontal="center" vertical="center" textRotation="90" wrapText="1"/>
    </xf>
    <xf numFmtId="1" fontId="12" fillId="25" borderId="11" xfId="1026" applyNumberFormat="1" applyFont="1" applyFill="1" applyBorder="1" applyAlignment="1">
      <alignment horizontal="center" vertical="center" wrapText="1"/>
    </xf>
    <xf numFmtId="0" fontId="22" fillId="25" borderId="11" xfId="1026" applyFont="1" applyFill="1" applyBorder="1" applyAlignment="1">
      <alignment horizontal="center" vertical="center" wrapText="1"/>
    </xf>
    <xf numFmtId="0" fontId="17" fillId="25" borderId="284" xfId="1026" applyFont="1" applyFill="1" applyBorder="1" applyAlignment="1">
      <alignment horizontal="center" vertical="center" textRotation="1" wrapText="1"/>
    </xf>
    <xf numFmtId="0" fontId="1" fillId="0" borderId="11" xfId="0" applyFont="1" applyFill="1" applyBorder="1" applyAlignment="1">
      <alignment horizontal="center" vertical="center" wrapText="1"/>
    </xf>
    <xf numFmtId="0" fontId="19" fillId="0" borderId="169" xfId="1026" applyFont="1" applyFill="1" applyBorder="1" applyAlignment="1">
      <alignment horizontal="center" vertical="center" wrapText="1"/>
    </xf>
    <xf numFmtId="0" fontId="20" fillId="0" borderId="269" xfId="0" applyFont="1" applyFill="1" applyBorder="1" applyAlignment="1">
      <alignment horizontal="center" vertical="center" wrapText="1"/>
    </xf>
    <xf numFmtId="0" fontId="20" fillId="0" borderId="172" xfId="0" applyFont="1" applyFill="1" applyBorder="1" applyAlignment="1">
      <alignment horizontal="center" vertical="center" wrapText="1"/>
    </xf>
    <xf numFmtId="0" fontId="16" fillId="25" borderId="12" xfId="1026" applyFont="1" applyFill="1" applyBorder="1" applyAlignment="1">
      <alignment horizontal="center" vertical="center" wrapText="1"/>
    </xf>
    <xf numFmtId="0" fontId="19" fillId="25" borderId="2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166" fontId="15" fillId="25" borderId="11" xfId="1040" applyNumberFormat="1" applyFont="1" applyFill="1" applyBorder="1" applyAlignment="1" applyProtection="1">
      <alignment horizontal="center" vertical="center"/>
    </xf>
    <xf numFmtId="166" fontId="15" fillId="25" borderId="270" xfId="1040" applyNumberFormat="1" applyFont="1" applyFill="1" applyBorder="1" applyAlignment="1" applyProtection="1">
      <alignment horizontal="center" vertical="center"/>
    </xf>
    <xf numFmtId="166" fontId="15" fillId="25" borderId="270" xfId="1026" applyNumberFormat="1" applyFont="1" applyFill="1" applyBorder="1" applyAlignment="1">
      <alignment horizontal="center" vertical="center" wrapText="1"/>
    </xf>
    <xf numFmtId="166" fontId="4" fillId="25" borderId="15" xfId="1026" applyNumberFormat="1" applyFont="1" applyFill="1" applyBorder="1" applyAlignment="1">
      <alignment horizontal="center" vertical="center" wrapText="1"/>
    </xf>
    <xf numFmtId="1" fontId="15" fillId="25" borderId="15" xfId="1026" applyNumberFormat="1" applyFont="1" applyFill="1" applyBorder="1" applyAlignment="1">
      <alignment horizontal="center" vertical="center" wrapText="1"/>
    </xf>
    <xf numFmtId="1" fontId="15" fillId="25" borderId="270" xfId="1026" applyNumberFormat="1" applyFont="1" applyFill="1" applyBorder="1" applyAlignment="1">
      <alignment horizontal="center" vertical="center" wrapText="1"/>
    </xf>
  </cellXfs>
  <cellStyles count="1043">
    <cellStyle name="_ вывод" xfId="1"/>
    <cellStyle name="_ вывод_прогноз" xfId="2"/>
    <cellStyle name="_ вывод_Расчет" xfId="3"/>
    <cellStyle name="_ вывод_Свод ГТМ ЮНГ июнь-июль 2008" xfId="4"/>
    <cellStyle name="_ вывод_Шаблон_мониторинг потерь_план" xfId="5"/>
    <cellStyle name="_!График ЮНГ за январь 06" xfId="6"/>
    <cellStyle name="_!График ЮНГ за январь 06_Новая форма расчёта добычи" xfId="7"/>
    <cellStyle name="_!График ЮНГ за январь 06_ПР декабрь" xfId="8"/>
    <cellStyle name="_!График ЮНГ за январь 06_Свод ГТМ ЮНГ июнь-июль 2008" xfId="9"/>
    <cellStyle name="_!График ЮНГ за январь 06_Шаблон_мониторинг потерь_план" xfId="10"/>
    <cellStyle name="_(10)" xfId="11"/>
    <cellStyle name="_(13)" xfId="12"/>
    <cellStyle name="_02.04" xfId="13"/>
    <cellStyle name="_03.03" xfId="14"/>
    <cellStyle name="_03.04" xfId="15"/>
    <cellStyle name="_06 07  Сетевой график Томскнефть - июнь (2)" xfId="16"/>
    <cellStyle name="_10.03" xfId="17"/>
    <cellStyle name="_11 05 Выполнение сетевого графика (2)" xfId="18"/>
    <cellStyle name="_11.06" xfId="19"/>
    <cellStyle name="_12.04" xfId="20"/>
    <cellStyle name="_12.12" xfId="21"/>
    <cellStyle name="_13.02" xfId="22"/>
    <cellStyle name="_15 07 2005 (12)" xfId="23"/>
    <cellStyle name="_15.03" xfId="24"/>
    <cellStyle name="_16.02" xfId="25"/>
    <cellStyle name="_18.02" xfId="26"/>
    <cellStyle name="_18.03" xfId="27"/>
    <cellStyle name="_18.04" xfId="28"/>
    <cellStyle name="_2.05" xfId="29"/>
    <cellStyle name="_2.06 " xfId="30"/>
    <cellStyle name="_20.02" xfId="31"/>
    <cellStyle name="_2005год" xfId="32"/>
    <cellStyle name="_2005год_Новая форма расчёта добычи" xfId="33"/>
    <cellStyle name="_2005год_ПР декабрь" xfId="34"/>
    <cellStyle name="_2005год_прогноз" xfId="35"/>
    <cellStyle name="_2005год_Расчет" xfId="36"/>
    <cellStyle name="_2005год_Свод ГТМ ЮНГ июнь-июль 2008" xfId="37"/>
    <cellStyle name="_2005год_Шаблон_мониторинг потерь_план" xfId="38"/>
    <cellStyle name="_21.02" xfId="39"/>
    <cellStyle name="_21.04" xfId="40"/>
    <cellStyle name="_22.02.2005  (1.02)" xfId="41"/>
    <cellStyle name="_22.02.2005  (1.02)_прогноз" xfId="42"/>
    <cellStyle name="_22.02.2005  (1.02)_Расчет" xfId="43"/>
    <cellStyle name="_22.02.2005  (1.02)_Свод ГТМ ЮНГ июнь-июль 2008" xfId="44"/>
    <cellStyle name="_22.02.2005  (1.02)_Шаблон_мониторинг потерь_план" xfId="45"/>
    <cellStyle name="_22.12.2004  (1.12)" xfId="46"/>
    <cellStyle name="_22.12.2004  (1.12)_прогноз" xfId="47"/>
    <cellStyle name="_22.12.2004  (1.12)_Расчет" xfId="48"/>
    <cellStyle name="_22.12.2004  (1.12)_Свод ГТМ ЮНГ июнь-июль 2008" xfId="49"/>
    <cellStyle name="_22.12.2004  (1.12)_Шаблон_мониторинг потерь_план" xfId="50"/>
    <cellStyle name="_23.04" xfId="51"/>
    <cellStyle name="_24.03" xfId="52"/>
    <cellStyle name="_26.02" xfId="53"/>
    <cellStyle name="_27 июня 2004 года" xfId="54"/>
    <cellStyle name="_27 июня 2004 года_Новая форма расчёта добычи" xfId="55"/>
    <cellStyle name="_27 июня 2004 года_ПР декабрь" xfId="56"/>
    <cellStyle name="_27 июня 2004 года_прогноз" xfId="57"/>
    <cellStyle name="_27 июня 2004 года_Расчет" xfId="58"/>
    <cellStyle name="_27 июня 2004 года_Свод ГТМ ЮНГ июнь-июль 2008" xfId="59"/>
    <cellStyle name="_27 июня 2004 года_Шаблон_мониторинг потерь_план" xfId="60"/>
    <cellStyle name="_27.03" xfId="61"/>
    <cellStyle name="_29.06" xfId="62"/>
    <cellStyle name="_30.11.2004 г" xfId="63"/>
    <cellStyle name="_30.11.2004 г_прогноз" xfId="64"/>
    <cellStyle name="_30.11.2004 г_Расчет" xfId="65"/>
    <cellStyle name="_30.11.2004 г_Свод ГТМ ЮНГ июнь-июль 2008" xfId="66"/>
    <cellStyle name="_30.11.2004 г_Шаблон_мониторинг потерь_план" xfId="67"/>
    <cellStyle name="_5.02" xfId="68"/>
    <cellStyle name="_6.02" xfId="69"/>
    <cellStyle name="_7.02" xfId="70"/>
    <cellStyle name="_8" xfId="71"/>
    <cellStyle name="_8.02" xfId="72"/>
    <cellStyle name="_Cводный график КВУ на май 2005г" xfId="73"/>
    <cellStyle name="_Cводный график КВУ на май 2005г_Новая форма расчёта добычи" xfId="74"/>
    <cellStyle name="_Cводный график КВУ на май 2005г_ПР декабрь" xfId="75"/>
    <cellStyle name="_Cводный график КВУ на май 2005г_прогноз" xfId="76"/>
    <cellStyle name="_Cводный график КВУ на май 2005г_Свод ГТМ ЮНГ июнь-июль 2008" xfId="77"/>
    <cellStyle name="_Cводный график КВУ на май 2005г_Шаблон_мониторинг потерь_план" xfId="78"/>
    <cellStyle name="_NewStrategy ТН_09.09.04" xfId="79"/>
    <cellStyle name="_NewStrategy ТН_14.10.04" xfId="80"/>
    <cellStyle name="_NewStrategy ТН_17.06.04" xfId="81"/>
    <cellStyle name="_NewStrategy ТН_19.08.041" xfId="82"/>
    <cellStyle name="_NewStrategy ТН_23.09.04" xfId="83"/>
    <cellStyle name="_NewStrategy ТН_30.09.04" xfId="84"/>
    <cellStyle name="_OPER_PPD" xfId="85"/>
    <cellStyle name="_OPER_PRB" xfId="86"/>
    <cellStyle name="_OPER_PRB4" xfId="87"/>
    <cellStyle name="_OPER_PRB4_прогноз" xfId="88"/>
    <cellStyle name="_OPER_PRB4_Расчет" xfId="89"/>
    <cellStyle name="_OPER_PRB4_Свод ГТМ ЮНГ июнь-июль 2008" xfId="90"/>
    <cellStyle name="_OPER_PRB4_Шаблон_мониторинг потерь_план" xfId="91"/>
    <cellStyle name="_SOBJN22" xfId="92"/>
    <cellStyle name="_SOBJN22_Новая форма расчёта добычи" xfId="93"/>
    <cellStyle name="_SOBJN22_ПР декабрь" xfId="94"/>
    <cellStyle name="_SOBJN22_прогноз" xfId="95"/>
    <cellStyle name="_SOBJN22_Расчет" xfId="96"/>
    <cellStyle name="_SOBJN22_Свод ГТМ ЮНГ июнь-июль 2008" xfId="97"/>
    <cellStyle name="_SOBJN22_Шаблон_мониторинг потерь_план" xfId="98"/>
    <cellStyle name="_SOBJN25" xfId="99"/>
    <cellStyle name="_SOBJN25_Новая форма расчёта добычи" xfId="100"/>
    <cellStyle name="_SOBJN25_ПР декабрь" xfId="101"/>
    <cellStyle name="_SOBJN25_прогноз" xfId="102"/>
    <cellStyle name="_SOBJN25_Расчет" xfId="103"/>
    <cellStyle name="_SOBJN25_Свод ГТМ ЮНГ июнь-июль 2008" xfId="104"/>
    <cellStyle name="_SOBJN25_Шаблон_мониторинг потерь_план" xfId="105"/>
    <cellStyle name="_SOBJN27" xfId="106"/>
    <cellStyle name="_SOBJN27_Новая форма расчёта добычи" xfId="107"/>
    <cellStyle name="_SOBJN27_ПР декабрь" xfId="108"/>
    <cellStyle name="_SOBJN27_прогноз" xfId="109"/>
    <cellStyle name="_SOBJN27_Свод ГТМ ЮНГ июнь-июль 2008" xfId="110"/>
    <cellStyle name="_SOBJN27_Шаблон_мониторинг потерь_план" xfId="111"/>
    <cellStyle name="_SOBJN29" xfId="112"/>
    <cellStyle name="_SOBJN29_Новая форма расчёта добычи" xfId="113"/>
    <cellStyle name="_SOBJN29_ПР декабрь" xfId="114"/>
    <cellStyle name="_SOBJN29_прогноз" xfId="115"/>
    <cellStyle name="_SOBJN29_Свод ГТМ ЮНГ июнь-июль 2008" xfId="116"/>
    <cellStyle name="_SOBJN29_Шаблон_мониторинг потерь_план" xfId="117"/>
    <cellStyle name="_SOBJN33" xfId="118"/>
    <cellStyle name="_SOBJN33_Новая форма расчёта добычи" xfId="119"/>
    <cellStyle name="_SOBJN33_ПР декабрь" xfId="120"/>
    <cellStyle name="_SOBJN33_прогноз" xfId="121"/>
    <cellStyle name="_SOBJN33_Свод ГТМ ЮНГ июнь-июль 2008" xfId="122"/>
    <cellStyle name="_SOBJN33_Шаблон_мониторинг потерь_план" xfId="123"/>
    <cellStyle name="_SOBJN34" xfId="124"/>
    <cellStyle name="_SOBJN34_Новая форма расчёта добычи" xfId="125"/>
    <cellStyle name="_SOBJN34_ПР декабрь" xfId="126"/>
    <cellStyle name="_SOBJN34_прогноз" xfId="127"/>
    <cellStyle name="_SOBJN34_Свод ГТМ ЮНГ июнь-июль 2008" xfId="128"/>
    <cellStyle name="_SOBJN34_Шаблон_мониторинг потерь_план" xfId="129"/>
    <cellStyle name="_SUPER" xfId="130"/>
    <cellStyle name="_SUPER_прогноз" xfId="131"/>
    <cellStyle name="_SUPER_Свод ГТМ ЮНГ июнь-июль 2008" xfId="132"/>
    <cellStyle name="_SUPER_Шаблон_мониторинг потерь_план" xfId="133"/>
    <cellStyle name="_Анализ динамики ТР (МАЙСКИЙ РЕГИОН-Октябрь 2004 г.)" xfId="134"/>
    <cellStyle name="_Анализ динамики ТР (МАЙСКИЙ РЕГИОН-Октябрь 2004 г.)_Новая форма расчёта добычи" xfId="135"/>
    <cellStyle name="_Анализ динамики ТР (МАЙСКИЙ РЕГИОН-Октябрь 2004 г.)_ПР декабрь" xfId="136"/>
    <cellStyle name="_Анализ динамики ТР (МАЙСКИЙ РЕГИОН-Октябрь 2004 г.)_прогноз" xfId="137"/>
    <cellStyle name="_Анализ динамики ТР (МАЙСКИЙ РЕГИОН-Октябрь 2004 г.)_Свод ГТМ ЮНГ июнь-июль 2008" xfId="138"/>
    <cellStyle name="_Анализ динамики ТР (МАЙСКИЙ РЕГИОН-Октябрь 2004 г.)_Шаблон_мониторинг потерь_план" xfId="139"/>
    <cellStyle name="_Анализ динамики ТР (ЮГАНСКИЙ РЕГИОН-Январь 2005 г )" xfId="140"/>
    <cellStyle name="_Анализ динамики ТР (ЮГАНСКИЙ РЕГИОН-Январь 2005 г )_Новая форма расчёта добычи" xfId="141"/>
    <cellStyle name="_Анализ динамики ТР (ЮГАНСКИЙ РЕГИОН-Январь 2005 г )_ПР декабрь" xfId="142"/>
    <cellStyle name="_Анализ динамики ТР (ЮГАНСКИЙ РЕГИОН-Январь 2005 г )_прогноз" xfId="143"/>
    <cellStyle name="_Анализ динамики ТР (ЮГАНСКИЙ РЕГИОН-Январь 2005 г )_Свод ГТМ ЮНГ июнь-июль 2008" xfId="144"/>
    <cellStyle name="_Анализ динамики ТР (ЮГАНСКИЙ РЕГИОН-Январь 2005 г )_Шаблон_мониторинг потерь_план" xfId="145"/>
    <cellStyle name="_Анализ динамики ТР и изменение параметров  за Ноябрь 04г" xfId="146"/>
    <cellStyle name="_Анализ динамики ТР и изменение параметров  за Ноябрь 04г_Новая форма расчёта добычи" xfId="147"/>
    <cellStyle name="_Анализ динамики ТР и изменение параметров  за Ноябрь 04г_ПР декабрь" xfId="148"/>
    <cellStyle name="_Анализ динамики ТР и изменение параметров  за Ноябрь 04г_прогноз" xfId="149"/>
    <cellStyle name="_Анализ динамики ТР и изменение параметров  за Ноябрь 04г_Шаблон_мониторинг потерь_план" xfId="150"/>
    <cellStyle name="_Анализ динамики ТР и изменение параметров (ЮГАНСКИЙ РЕГИОН-Декабрь 2004 г " xfId="151"/>
    <cellStyle name="_Анализ динамики ТР и изменение параметров (ЮГАНСКИЙ РЕГИОН-Декабрь 2004 г _Новая форма расчёта добычи" xfId="152"/>
    <cellStyle name="_Анализ динамики ТР и изменение параметров (ЮГАНСКИЙ РЕГИОН-Декабрь 2004 г _ПР декабрь" xfId="153"/>
    <cellStyle name="_Анализ динамики ТР и изменение параметров (ЮГАНСКИЙ РЕГИОН-Декабрь 2004 г _прогноз" xfId="154"/>
    <cellStyle name="_Анализ динамики ТР и изменение параметров (ЮГАНСКИЙ РЕГИОН-Декабрь 2004 г _Шаблон_мониторинг потерь_план" xfId="155"/>
    <cellStyle name="_Анализ динамики ТР и изменение параметров (ЮГАНСКИЙ РЕГИОН-Декабрь 2004 г.)" xfId="156"/>
    <cellStyle name="_Анализ динамики ТР и изменение параметров (ЮГАНСКИЙ РЕГИОН-Декабрь 2004 г.)_Новая форма расчёта добычи" xfId="157"/>
    <cellStyle name="_Анализ динамики ТР и изменение параметров (ЮГАНСКИЙ РЕГИОН-Декабрь 2004 г.)_ПР декабрь" xfId="158"/>
    <cellStyle name="_Анализ динамики ТР и изменение параметров (ЮГАНСКИЙ РЕГИОН-Декабрь 2004 г.)_прогноз" xfId="159"/>
    <cellStyle name="_Анализ динамики ТР и изменение параметров (ЮГАНСКИЙ РЕГИОН-Декабрь 2004 г.)_Шаблон_мониторинг потерь_план" xfId="160"/>
    <cellStyle name="_Анализ изм.параметров тех.реж.январь" xfId="161"/>
    <cellStyle name="_Анализ изм.параметров тех.реж.январь_прогноз" xfId="162"/>
    <cellStyle name="_Анализ изм.параметров тех.реж.январь_Шаблон_мониторинг потерь_план" xfId="163"/>
    <cellStyle name="_Анализ суточной добычи за 19.10.04" xfId="164"/>
    <cellStyle name="_Анализ суточной добычи за 19.10.04_прогноз" xfId="165"/>
    <cellStyle name="_Анализ суточной добычи за 19.10.04_Шаблон_мониторинг потерь_план" xfId="166"/>
    <cellStyle name="_Анализ суточной добычи за 20.10.04" xfId="167"/>
    <cellStyle name="_Анализ суточной добычи за 20.10.04_прогноз" xfId="168"/>
    <cellStyle name="_Анализ суточной добычи за 20.10.04_Шаблон_мониторинг потерь_план" xfId="169"/>
    <cellStyle name="_Анализ суточной добычи за 24.10.04" xfId="170"/>
    <cellStyle name="_Анализ суточной добычи за 24.10.04_прогноз" xfId="171"/>
    <cellStyle name="_Анализ суточной добычи за 24.10.04_Шаблон_мониторинг потерь_план" xfId="172"/>
    <cellStyle name="_Анализ ТР по Приобской группе_Бердяев_1" xfId="173"/>
    <cellStyle name="_Анализ ТР по Приобской группе_Бердяев_1_Новая форма расчёта добычи" xfId="174"/>
    <cellStyle name="_Анализ ТР по Приобской группе_Бердяев_1_ПР декабрь" xfId="175"/>
    <cellStyle name="_Анализ ТР по Приобской группе_Бердяев_1_прогноз" xfId="176"/>
    <cellStyle name="_Анализ ТР по Приобской группе_Бердяев_1_Шаблон_мониторинг потерь_план" xfId="177"/>
    <cellStyle name="_Анализ ТР по Приобской группе_Бердяев_1верс11" xfId="178"/>
    <cellStyle name="_Анализ ТР по Приобской группе_Бердяев_1верс11_Новая форма расчёта добычи" xfId="179"/>
    <cellStyle name="_Анализ ТР по Приобской группе_Бердяев_1верс11_ПР декабрь" xfId="180"/>
    <cellStyle name="_Анализ ТР по Приобской группе_Бердяев_1верс11_прогноз" xfId="181"/>
    <cellStyle name="_Анализ ТР по Приобской группе_Бердяев_1верс11_Шаблон_мониторинг потерь_план" xfId="182"/>
    <cellStyle name="_База_гтм_отправленные1" xfId="183"/>
    <cellStyle name="_База_гтм_отправленные1_прогноз" xfId="184"/>
    <cellStyle name="_База_гтм_отправленные1_Шаблон_мониторинг потерь_план" xfId="185"/>
    <cellStyle name="_вывод" xfId="186"/>
    <cellStyle name="_вывод_прогноз" xfId="187"/>
    <cellStyle name="_вывод_Шаблон_мониторинг потерь_план" xfId="188"/>
    <cellStyle name="_Выводничка 03.04" xfId="189"/>
    <cellStyle name="_Выводничка 03.04_прогноз" xfId="190"/>
    <cellStyle name="_Выводничка 03.04_Шаблон_мониторинг потерь_план" xfId="191"/>
    <cellStyle name="_Выводничка Ц-12" xfId="192"/>
    <cellStyle name="_Выводничка Ц-12_прогноз" xfId="193"/>
    <cellStyle name="_Выводничка Ц-12_Шаблон_мониторинг потерь_план" xfId="194"/>
    <cellStyle name="_Выводничка ЦДНГ-12" xfId="195"/>
    <cellStyle name="_Выводничка ЦДНГ-12 (2)" xfId="196"/>
    <cellStyle name="_Выводничка ЦДНГ-12 (7)" xfId="197"/>
    <cellStyle name="_Выводничка ЦДНГ-12 (73)" xfId="198"/>
    <cellStyle name="_Выводничка ЦДНГ-12_1" xfId="199"/>
    <cellStyle name="_Выводничка ЦДНГ-12_прогноз" xfId="200"/>
    <cellStyle name="_Выводничка ЦДНГ-12_Шаблон_мониторинг потерь_план" xfId="201"/>
    <cellStyle name="_Выводничка ЦДНГ-126" xfId="202"/>
    <cellStyle name="_Выводничка ЦДНГ-12-январь04г." xfId="203"/>
    <cellStyle name="_Выводничка ЦДНГ-12-январь04г._прогноз" xfId="204"/>
    <cellStyle name="_Выводничка ЦДНГ-12-январь04г._Шаблон_мониторинг потерь_план" xfId="205"/>
    <cellStyle name="_Выводные МАРТ" xfId="206"/>
    <cellStyle name="_Выводные МАРТ_прогноз" xfId="207"/>
    <cellStyle name="_Выводные МАРТ_Шаблон_мониторинг потерь_план" xfId="208"/>
    <cellStyle name="_Выводные скважины для ЦИТС" xfId="209"/>
    <cellStyle name="_Выводные скважины для ЦИТС(новые)" xfId="210"/>
    <cellStyle name="_Выводные скважины для ЦИТС(новые)_Новая форма расчёта добычи" xfId="211"/>
    <cellStyle name="_Выводные скважины для ЦИТС(новые)_ПР декабрь" xfId="212"/>
    <cellStyle name="_Выводные скважины для ЦИТС(новые)_прогноз" xfId="213"/>
    <cellStyle name="_Выводные скважины для ЦИТС(новые)_Шаблон_мониторинг потерь_план" xfId="214"/>
    <cellStyle name="_Выводные скважины для ЦИТС_прогноз" xfId="215"/>
    <cellStyle name="_Выводные февраль" xfId="216"/>
    <cellStyle name="_Выводные февраль_прогноз" xfId="217"/>
    <cellStyle name="_Выводные февраль_Шаблон_мониторинг потерь_план" xfId="218"/>
    <cellStyle name="_выгрузка" xfId="219"/>
    <cellStyle name="_Выполнение Графика проведения КВУи замераРпл по ЮНГ на ноябрь- декабрь( после корректировки Юганского региона)" xfId="220"/>
    <cellStyle name="_Выполнение Графика проведения КВУи замераРпл по ЮНГ на ноябрь- декабрь( после корректировки Юганского региона)_Новая форма расчёта добычи" xfId="221"/>
    <cellStyle name="_Выполнение Графика проведения КВУи замераРпл по ЮНГ на ноябрь- декабрь( после корректировки Юганского региона)_ПР декабрь" xfId="222"/>
    <cellStyle name="_Выполнение Графика проведения КВУи замераРпл по ЮНГ на ноябрь- декабрь( после корректировки Юганского региона)_прогноз" xfId="223"/>
    <cellStyle name="_Выполнение Графика проведения КВУи замераРпл по ЮНГ на ноябрь- декабрь( после корректировки Юганского региона)_Шаблон_мониторинг потерь_план" xfId="224"/>
    <cellStyle name="_Выполнение ГТМ МсР" xfId="225"/>
    <cellStyle name="_Выполнение ГТМ ПРО" xfId="226"/>
    <cellStyle name="_Выполнение ГТМ ЮР" xfId="227"/>
    <cellStyle name="_Выполнение сетевого графика" xfId="228"/>
    <cellStyle name="_Выполнение Сетевого Графика ГТМ (новый)" xfId="229"/>
    <cellStyle name="_ГДИ на Апрель" xfId="230"/>
    <cellStyle name="_ГДИ на Апрель_прогноз" xfId="231"/>
    <cellStyle name="_ГДИ на Апрель_Шаблон_мониторинг потерь_план" xfId="232"/>
    <cellStyle name="_ГДИ на май1" xfId="233"/>
    <cellStyle name="_ГДИ на май1_прогноз" xfId="234"/>
    <cellStyle name="_ГДИ на май1_Шаблон_мониторинг потерь_план" xfId="235"/>
    <cellStyle name="_ГДИ ЦДНГ-12" xfId="236"/>
    <cellStyle name="_ГДИ ЦДНГ-12_прогноз" xfId="237"/>
    <cellStyle name="_ГДИ ЦДНГ-12_Шаблон_мониторинг потерь_план" xfId="238"/>
    <cellStyle name="_ГДИС ЦДНГ-14" xfId="239"/>
    <cellStyle name="_ГДИС ЦДНГ-14_прогноз" xfId="240"/>
    <cellStyle name="_ГДИС ЦДНГ-14_Шаблон_мониторинг потерь_план" xfId="241"/>
    <cellStyle name="_ГРАФИК" xfId="242"/>
    <cellStyle name="_График  факт на декабрь (5)" xfId="243"/>
    <cellStyle name="_График  факт на декабрь (5)_Новая форма расчёта добычи" xfId="244"/>
    <cellStyle name="_График  факт на декабрь (5)_ПР декабрь" xfId="245"/>
    <cellStyle name="_График  факт на декабрь (5)_Шаблон_мониторинг потерь_план" xfId="246"/>
    <cellStyle name="_график ГРП  февраль" xfId="247"/>
    <cellStyle name="_график ГРП  февраль_Новая форма расчёта добычи" xfId="248"/>
    <cellStyle name="_график ГРП  февраль_ПР декабрь" xfId="249"/>
    <cellStyle name="_график ГРП  февраль_прогноз" xfId="250"/>
    <cellStyle name="_график ГРП  февраль_Шаблон_мониторинг потерь_план" xfId="251"/>
    <cellStyle name="_График ГРП_июнь по ЮР" xfId="252"/>
    <cellStyle name="_График ГРП_июнь по ЮР_Новая форма расчёта добычи" xfId="253"/>
    <cellStyle name="_График ГРП_июнь по ЮР_ПР декабрь" xfId="254"/>
    <cellStyle name="_График ГРП_июнь по ЮР_прогноз" xfId="255"/>
    <cellStyle name="_График ГРП_июнь по ЮР_Шаблон_мониторинг потерь_план" xfId="256"/>
    <cellStyle name="_График запуска с 20.06.04г." xfId="257"/>
    <cellStyle name="_График запуска с 20.06.04г._прогноз" xfId="258"/>
    <cellStyle name="_График запуска с 20.06.04г._Шаблон_мониторинг потерь_план" xfId="259"/>
    <cellStyle name="_график запусков" xfId="260"/>
    <cellStyle name="_график запусков ЮР" xfId="261"/>
    <cellStyle name="_график запусков ЮР_Новая форма расчёта добычи" xfId="262"/>
    <cellStyle name="_график запусков ЮР_ПР декабрь" xfId="263"/>
    <cellStyle name="_график запусков ЮР_прогноз" xfId="264"/>
    <cellStyle name="_график запусков ЮР_Шаблон_мониторинг потерь_план" xfId="265"/>
    <cellStyle name="_график запусков_Новая форма расчёта добычи" xfId="266"/>
    <cellStyle name="_график запусков_ПР декабрь" xfId="267"/>
    <cellStyle name="_график запусков_прогноз" xfId="268"/>
    <cellStyle name="_график запусков_Шаблон_мониторинг потерь_план" xfId="269"/>
    <cellStyle name="_График КВУ на август по Мср" xfId="270"/>
    <cellStyle name="_График КВУ на август по Мср_Новая форма расчёта добычи" xfId="271"/>
    <cellStyle name="_График КВУ на август по Мср_ПР декабрь" xfId="272"/>
    <cellStyle name="_График КВУ на август по Мср_прогноз" xfId="273"/>
    <cellStyle name="_График КВУ на август по Мср_Шаблон_мониторинг потерь_план" xfId="274"/>
    <cellStyle name="_График пров. ГДИ  с потерями февраль 2005 МР" xfId="275"/>
    <cellStyle name="_График пров. ГДИ  с потерями февраль 2005 МР_Новая форма расчёта добычи" xfId="276"/>
    <cellStyle name="_График пров. ГДИ  с потерями февраль 2005 МР_ПР декабрь" xfId="277"/>
    <cellStyle name="_График пров. ГДИ  с потерями февраль 2005 МР_прогноз" xfId="278"/>
    <cellStyle name="_График пров. ГДИ  с потерями февраль 2005 МР_Шаблон_мониторинг потерь_план" xfId="279"/>
    <cellStyle name="_График проведения КВУи замераРпл по ЮНГ на ноябрь- декабрь( после корректировки Юганского региона)" xfId="280"/>
    <cellStyle name="_График проведения КВУи замераРпл по ЮНГ на ноябрь- декабрь( после корректировки Юганского региона) (3)" xfId="281"/>
    <cellStyle name="_График проведения КВУи замераРпл по ЮНГ на ноябрь- декабрь( после корректировки Юганского региона) (3)_Новая форма расчёта добычи" xfId="282"/>
    <cellStyle name="_График проведения КВУи замераРпл по ЮНГ на ноябрь- декабрь( после корректировки Юганского региона) (3)_ПР декабрь" xfId="283"/>
    <cellStyle name="_График проведения КВУи замераРпл по ЮНГ на ноябрь- декабрь( после корректировки Юганского региона) (3)_прогноз" xfId="284"/>
    <cellStyle name="_График проведения КВУи замераРпл по ЮНГ на ноябрь- декабрь( после корректировки Юганского региона) (3)_Шаблон_мониторинг потерь_план" xfId="285"/>
    <cellStyle name="_График проведения КВУи замераРпл по ЮНГ на ноябрь- декабрь( после корректировки Юганского региона)_Новая форма расчёта добычи" xfId="286"/>
    <cellStyle name="_График проведения КВУи замераРпл по ЮНГ на ноябрь- декабрь( после корректировки Юганского региона)_ПР декабрь" xfId="287"/>
    <cellStyle name="_График проведения КВУи замераРпл по ЮНГ на ноябрь- декабрь( после корректировки Юганского региона)_прогноз" xfId="288"/>
    <cellStyle name="_График проведения КВУи замераРпл по ЮНГ на ноябрь- декабрь( после корректировки Юганского региона)_Шаблон_мониторинг потерь_план" xfId="289"/>
    <cellStyle name="_График проведения КВУиКПД по ЮН региону на август.04г" xfId="290"/>
    <cellStyle name="_График проведения КВУиКПД по ЮН региону на август.04г_Новая форма расчёта добычи" xfId="291"/>
    <cellStyle name="_График проведения КВУиКПД по ЮН региону на август.04г_ПР декабрь" xfId="292"/>
    <cellStyle name="_График проведения КВУиКПД по ЮН региону на август.04г_прогноз" xfId="293"/>
    <cellStyle name="_График проведения КВУиКПД по ЮН региону на август.04г_Шаблон_мониторинг потерь_план" xfId="294"/>
    <cellStyle name="_График ЮНГ за март 06 (1) (2)" xfId="295"/>
    <cellStyle name="_График ЮНГ за март 06 (1) (2)_Новая форма расчёта добычи" xfId="296"/>
    <cellStyle name="_График ЮНГ за март 06 (1) (2)_ПР декабрь" xfId="297"/>
    <cellStyle name="_График ЮНГ за март 06 (1) (2)_Шаблон_мониторинг потерь_план" xfId="298"/>
    <cellStyle name="_ГРАФИК_прогноз" xfId="299"/>
    <cellStyle name="_ГРАФИК_Шаблон_мониторинг потерь_план" xfId="300"/>
    <cellStyle name="_Графики добычи и ГТМ по Приобскому региону." xfId="301"/>
    <cellStyle name="_Графики добычи и ГТМ по Приобскому региону._прогноз" xfId="302"/>
    <cellStyle name="_Графики добычи и ГТМ по Приобскому региону._Шаблон_мониторинг потерь_план" xfId="303"/>
    <cellStyle name="_Графическая часть" xfId="304"/>
    <cellStyle name="_Графическая часть_прогноз" xfId="305"/>
    <cellStyle name="_Графическая часть_Шаблон_мониторинг потерь_план" xfId="306"/>
    <cellStyle name="_ГТМ  на  ноябрь защита" xfId="307"/>
    <cellStyle name="_ГТМ  на  ноябрь защита_прогноз" xfId="308"/>
    <cellStyle name="_ГТМ  на  ноябрь защита_Шаблон_мониторинг потерь_план" xfId="309"/>
    <cellStyle name="_ГТМ на сентябрь от РИТС УППР" xfId="310"/>
    <cellStyle name="_ГТМ на сентябрь от РИТС УППР_прогноз" xfId="311"/>
    <cellStyle name="_ГТМ на сентябрь от РИТС УППР_Шаблон_мониторинг потерь_план" xfId="312"/>
    <cellStyle name="_ГТМ ПРБ 15.11.0410" xfId="313"/>
    <cellStyle name="_ГТМ ПРБ 15.11.0410_Новая форма расчёта добычи" xfId="314"/>
    <cellStyle name="_ГТМ ПРБ 15.11.0410_ПР декабрь" xfId="315"/>
    <cellStyle name="_ГТМ ПРБ 15.11.0410_прогноз" xfId="316"/>
    <cellStyle name="_ГТМ ПРБ 15.11.0410_Шаблон_мониторинг потерь_план" xfId="317"/>
    <cellStyle name="_ГТМ ПРБ за 10.03.05г 1" xfId="318"/>
    <cellStyle name="_ГТМ ПРБ за 10.03.05г 1_Новая форма расчёта добычи" xfId="319"/>
    <cellStyle name="_ГТМ ПРБ за 10.03.05г 1_ПР декабрь" xfId="320"/>
    <cellStyle name="_ГТМ ПРБ за 10.03.05г 1_прогноз" xfId="321"/>
    <cellStyle name="_ГТМ ПРБ за 10.03.05г 1_Шаблон_мониторинг потерь_план" xfId="322"/>
    <cellStyle name="_ГТМ ПРБ за 18.10.04 штаб1" xfId="323"/>
    <cellStyle name="_ГТМ ПРБ за 18.10.04 штаб1_Новая форма расчёта добычи" xfId="324"/>
    <cellStyle name="_ГТМ ПРБ за 18.10.04 штаб1_ПР декабрь" xfId="325"/>
    <cellStyle name="_ГТМ ПРБ за 18.10.04 штаб1_прогноз" xfId="326"/>
    <cellStyle name="_ГТМ ПРБ за 18.10.04 штаб1_Шаблон_мониторинг потерь_план" xfId="327"/>
    <cellStyle name="_ГТМ ПРБ июнь факт за20.06.04(1)" xfId="328"/>
    <cellStyle name="_ГТМ ПРБ июнь факт за20.06.04(1)_Новая форма расчёта добычи" xfId="329"/>
    <cellStyle name="_ГТМ ПРБ июнь факт за20.06.04(1)_ПР декабрь" xfId="330"/>
    <cellStyle name="_ГТМ ПРБ июнь факт за20.06.04(1)_прогноз" xfId="331"/>
    <cellStyle name="_ГТМ ПРБ июнь факт за20.06.04(1)_Шаблон_мониторинг потерь_план" xfId="332"/>
    <cellStyle name="_ГТМ ПРБ прогноз марта" xfId="333"/>
    <cellStyle name="_ГТМ ПРБ прогноз марта_Новая форма расчёта добычи" xfId="334"/>
    <cellStyle name="_ГТМ ПРБ прогноз марта_ПР декабрь" xfId="335"/>
    <cellStyle name="_ГТМ ПРБ прогноз марта_прогноз" xfId="336"/>
    <cellStyle name="_ГТМ ПРБ прогноз марта_Шаблон_мониторинг потерь_план" xfId="337"/>
    <cellStyle name="_ГТМ регион" xfId="338"/>
    <cellStyle name="_ГТМ регион_Новая форма расчёта добычи" xfId="339"/>
    <cellStyle name="_ГТМ регион_ПР декабрь" xfId="340"/>
    <cellStyle name="_ГТМ регион_прогноз" xfId="341"/>
    <cellStyle name="_ГТМ регион_Шаблон_мониторинг потерь_план" xfId="342"/>
    <cellStyle name="_ГТМ регион11" xfId="343"/>
    <cellStyle name="_ГТМ регион11_Новая форма расчёта добычи" xfId="344"/>
    <cellStyle name="_ГТМ регион11_ПР декабрь" xfId="345"/>
    <cellStyle name="_ГТМ регион11_прогноз" xfId="346"/>
    <cellStyle name="_ГТМ регион11_Шаблон_мониторинг потерь_план" xfId="347"/>
    <cellStyle name="_ГТМ февраль 2005 факт " xfId="348"/>
    <cellStyle name="_ГТМ февраль 2005 факт _прогноз" xfId="349"/>
    <cellStyle name="_ГТМ февраль 2005 факт _Шаблон_мониторинг потерь_план" xfId="350"/>
    <cellStyle name="_ГТМ ЮНГ ПрР декабрь 30.11 Защищенный" xfId="351"/>
    <cellStyle name="_ГТМ ЮНГ ПрР декабрь 30.11 Защищенный_Новая форма расчёта добычи" xfId="352"/>
    <cellStyle name="_ГТМ ЮНГ ПрР декабрь 30.11 Защищенный_ПР декабрь" xfId="353"/>
    <cellStyle name="_ГТМ ЮНГ ПрР декабрь 30.11 Защищенный_прогноз" xfId="354"/>
    <cellStyle name="_ГТМ ЮНГ ПрР декабрь 30.11 Защищенный_Шаблон_мониторинг потерь_план" xfId="355"/>
    <cellStyle name="_ГТМ ЮР август" xfId="356"/>
    <cellStyle name="_ГТМ_ТН051506 (3)" xfId="357"/>
    <cellStyle name="_гтм04 ПН" xfId="358"/>
    <cellStyle name="_гтм04 ПН_Новая форма расчёта добычи" xfId="359"/>
    <cellStyle name="_гтм04 ПН_ПР декабрь" xfId="360"/>
    <cellStyle name="_гтм04 ПН_прогноз" xfId="361"/>
    <cellStyle name="_гтм04 ПН_Шаблон_мониторинг потерь_план" xfId="362"/>
    <cellStyle name="_Диаграммы ГТМ" xfId="363"/>
    <cellStyle name="_Добыча по ТРС" xfId="364"/>
    <cellStyle name="_Добыча по ТРС февраль" xfId="365"/>
    <cellStyle name="_Добыча по ТРС февраль_Новая форма расчёта добычи" xfId="366"/>
    <cellStyle name="_Добыча по ТРС февраль_ПР декабрь" xfId="367"/>
    <cellStyle name="_Добыча по ТРС февраль_прогноз" xfId="368"/>
    <cellStyle name="_Добыча по ТРС февраль_Шаблон_мониторинг потерь_план" xfId="369"/>
    <cellStyle name="_Добыча по ТРС_Новая форма расчёта добычи" xfId="370"/>
    <cellStyle name="_Добыча по ТРС_ПР декабрь" xfId="371"/>
    <cellStyle name="_Добыча по ТРС_прогноз" xfId="372"/>
    <cellStyle name="_Добыча по ТРС_Шаблон_мониторинг потерь_план" xfId="373"/>
    <cellStyle name="_Зап.-Останов к расчету" xfId="374"/>
    <cellStyle name="_Зап.-Останов к расчету_прогноз" xfId="375"/>
    <cellStyle name="_Зап.-Останов к расчету_Шаблон_мониторинг потерь_план" xfId="376"/>
    <cellStyle name="_Зап.-Останов. ЦДНГ-12" xfId="377"/>
    <cellStyle name="_Зап.-Останов. ЦДНГ-12_прогноз" xfId="378"/>
    <cellStyle name="_Зап.-Останов. ЦДНГ-12_Шаблон_мониторинг потерь_план" xfId="379"/>
    <cellStyle name="_Зап.-Останов. ЦДНГ-12-декабрь" xfId="380"/>
    <cellStyle name="_Зап.-Останов. ЦДНГ-12-декабрь_прогноз" xfId="381"/>
    <cellStyle name="_Зап.-Останов. ЦДНГ-12-декабрь_Шаблон_мониторинг потерь_план" xfId="382"/>
    <cellStyle name="_Зап.-Останов. ЦДНГ-12-март" xfId="383"/>
    <cellStyle name="_Зап.-Останов. ЦДНГ-12-март_прогноз" xfId="384"/>
    <cellStyle name="_Зап.-Останов. ЦДНГ-12-март_Шаблон_мониторинг потерь_план" xfId="385"/>
    <cellStyle name="_Запуск УЭЦН Октябрь МР" xfId="386"/>
    <cellStyle name="_запуски" xfId="387"/>
    <cellStyle name="_Запуски-остановки июль 2005 (25)" xfId="388"/>
    <cellStyle name="_Запуски-остановки июль 2005 (27)" xfId="389"/>
    <cellStyle name="_Запуски-остановки июль 2005 (30)" xfId="390"/>
    <cellStyle name="_Запуски-остановки июль 2005 (31)" xfId="391"/>
    <cellStyle name="_Запуски-остановки июль 2005 (68)" xfId="392"/>
    <cellStyle name="_Запуски-остановки июль 2005 (69)" xfId="393"/>
    <cellStyle name="_Запуски-остановки июнь 2005 (2)" xfId="394"/>
    <cellStyle name="_Запуски-остановки июнь 2005 (3)" xfId="395"/>
    <cellStyle name="_Запуски-остановки июнь 2005 (6)" xfId="396"/>
    <cellStyle name="_Защита ГТМ ПРБ МАРТ и ОТМ на АПРЕЛЬ ЗАЩИЩЕННЫЙ от 25.03.04" xfId="397"/>
    <cellStyle name="_Защита ГТМ ПРБ МАРТ и ОТМ на АПРЕЛЬ ЗАЩИЩЕННЫЙ от 25.03.04_Новая форма расчёта добычи" xfId="398"/>
    <cellStyle name="_Защита ГТМ ПРБ МАРТ и ОТМ на АПРЕЛЬ ЗАЩИЩЕННЫЙ от 25.03.04_ПР декабрь" xfId="399"/>
    <cellStyle name="_Защита ГТМ ПРБ МАРТ и ОТМ на АПРЕЛЬ ЗАЩИЩЕННЫЙ от 25.03.04_прогноз" xfId="400"/>
    <cellStyle name="_Защита ГТМ ПРБ МАРТ и ОТМ на АПРЕЛЬ ЗАЩИЩЕННЫЙ от 25.03.04_Шаблон_мониторинг потерь_план" xfId="401"/>
    <cellStyle name="_Защита на декабрь предварительная" xfId="402"/>
    <cellStyle name="_Защита на декабрь предварительная_Новая форма расчёта добычи" xfId="403"/>
    <cellStyle name="_Защита на декабрь предварительная_ПР декабрь" xfId="404"/>
    <cellStyle name="_Защита на декабрь предварительная_прогноз" xfId="405"/>
    <cellStyle name="_Защита на декабрь предварительная_Шаблон_мониторинг потерь_план" xfId="406"/>
    <cellStyle name="_Изменение параметров ТР  ЮГАНСК. РЕГИОН январь 2005 г" xfId="407"/>
    <cellStyle name="_Изменение параметров ТР  ЮГАНСК. РЕГИОН январь 2005 г_Новая форма расчёта добычи" xfId="408"/>
    <cellStyle name="_Изменение параметров ТР  ЮГАНСК. РЕГИОН январь 2005 г_ПР декабрь" xfId="409"/>
    <cellStyle name="_Изменение параметров ТР  ЮГАНСК. РЕГИОН январь 2005 г_прогноз" xfId="410"/>
    <cellStyle name="_Изменение параметров ТР  ЮГАНСК. РЕГИОН январь 2005 г_Шаблон_мониторинг потерь_план" xfId="411"/>
    <cellStyle name="_Изменение по выведенным" xfId="412"/>
    <cellStyle name="_Изменение по выведенным_Новая форма расчёта добычи" xfId="413"/>
    <cellStyle name="_Изменение по выведенным_ПР декабрь" xfId="414"/>
    <cellStyle name="_Изменение по выведенным_прогноз" xfId="415"/>
    <cellStyle name="_Изменение по выведенным_Шаблон_мониторинг потерь_план" xfId="416"/>
    <cellStyle name="_Информация по исследованиям 2004" xfId="417"/>
    <cellStyle name="_Информация по исследованиям 2004_Новая форма расчёта добычи" xfId="418"/>
    <cellStyle name="_Информация по исследованиям 2004_ПР декабрь" xfId="419"/>
    <cellStyle name="_Информация по исследованиям 2004_прогноз" xfId="420"/>
    <cellStyle name="_Информация по исследованиям 2004_Шаблон_мониторинг потерь_план" xfId="421"/>
    <cellStyle name="_Информация по технологическим остановкам" xfId="422"/>
    <cellStyle name="_Информация по технологическим остановкам_Новая форма расчёта добычи" xfId="423"/>
    <cellStyle name="_Информация по технологическим остановкам_ПР декабрь" xfId="424"/>
    <cellStyle name="_Информация по технологическим остановкам_прогноз" xfId="425"/>
    <cellStyle name="_Информация по технологическим остановкам_Шаблон_мониторинг потерь_план" xfId="426"/>
    <cellStyle name="_к штабу" xfId="427"/>
    <cellStyle name="_КВУ на март" xfId="428"/>
    <cellStyle name="_КВУ на март_Новая форма расчёта добычи" xfId="429"/>
    <cellStyle name="_КВУ на март_ПР декабрь" xfId="430"/>
    <cellStyle name="_КВУ на март_прогноз" xfId="431"/>
    <cellStyle name="_КВУ на март_Шаблон_мониторинг потерь_план" xfId="432"/>
    <cellStyle name="_КВУи замера Рпл по ЮН регион на  фев 2005 г 1 вар " xfId="433"/>
    <cellStyle name="_КВУи замера Рпл по ЮН регион на  фев 2005 г 1 вар _Новая форма расчёта добычи" xfId="434"/>
    <cellStyle name="_КВУи замера Рпл по ЮН регион на  фев 2005 г 1 вар _ПР декабрь" xfId="435"/>
    <cellStyle name="_КВУи замера Рпл по ЮН регион на  фев 2005 г 1 вар _прогноз" xfId="436"/>
    <cellStyle name="_КВУи замера Рпл по ЮН регион на  фев 2005 г 1 вар _Шаблон_мониторинг потерь_план" xfId="437"/>
    <cellStyle name="_КВУи замера Рпл по ЮНГ на  фев 2005 г " xfId="438"/>
    <cellStyle name="_КВУи замера Рпл по ЮНГ на  фев 2005 г _Новая форма расчёта добычи" xfId="439"/>
    <cellStyle name="_КВУи замера Рпл по ЮНГ на  фев 2005 г _ПР декабрь" xfId="440"/>
    <cellStyle name="_КВУи замера Рпл по ЮНГ на  фев 2005 г _прогноз" xfId="441"/>
    <cellStyle name="_КВУи замера Рпл по ЮНГ на  фев 2005 г _Шаблон_мониторинг потерь_план" xfId="442"/>
    <cellStyle name="_КВУи замераРпл по ЮН региону на  январь 2005 г " xfId="443"/>
    <cellStyle name="_КВУи замераРпл по ЮН региону на  январь 2005 г _Новая форма расчёта добычи" xfId="444"/>
    <cellStyle name="_КВУи замераРпл по ЮН региону на  январь 2005 г _ПР декабрь" xfId="445"/>
    <cellStyle name="_КВУи замераРпл по ЮН региону на  январь 2005 г _прогноз" xfId="446"/>
    <cellStyle name="_КВУи замераРпл по ЮН региону на  январь 2005 г _Шаблон_мониторинг потерь_план" xfId="447"/>
    <cellStyle name="_КВУи замераРпл по ЮН региону на 11-12 04г2" xfId="448"/>
    <cellStyle name="_КВУи замераРпл по ЮН региону на 11-12 04г2_Новая форма расчёта добычи" xfId="449"/>
    <cellStyle name="_КВУи замераРпл по ЮН региону на 11-12 04г2_ПР декабрь" xfId="450"/>
    <cellStyle name="_КВУи замераРпл по ЮН региону на 11-12 04г2_прогноз" xfId="451"/>
    <cellStyle name="_КВУи замераРпл по ЮН региону на 11-12 04г2_Шаблон_мониторинг потерь_план" xfId="452"/>
    <cellStyle name="_Книга1" xfId="453"/>
    <cellStyle name="_Книга1_прогноз" xfId="454"/>
    <cellStyle name="_Книга1_ЦДНГ-10 Суточный рапорт 20.12.05" xfId="455"/>
    <cellStyle name="_Книга1_ЦДНГ-10 Суточный рапорт 20.12.05_прогноз" xfId="456"/>
    <cellStyle name="_Книга1_Шаблон_мониторинг потерь_план" xfId="457"/>
    <cellStyle name="_Книга10" xfId="458"/>
    <cellStyle name="_Книга10_OPER_PPD" xfId="459"/>
    <cellStyle name="_Книга10_OPER_PRB" xfId="460"/>
    <cellStyle name="_Книга10_Приобье-29.06" xfId="461"/>
    <cellStyle name="_Книга11 (15)" xfId="462"/>
    <cellStyle name="_Книга111" xfId="463"/>
    <cellStyle name="_Книга111_прогноз" xfId="464"/>
    <cellStyle name="_Книга111_Шаблон_мониторинг потерь_план" xfId="465"/>
    <cellStyle name="_Книга116" xfId="466"/>
    <cellStyle name="_Книга116_прогноз" xfId="467"/>
    <cellStyle name="_Книга116_Шаблон_мониторинг потерь_план" xfId="468"/>
    <cellStyle name="_Книга13" xfId="469"/>
    <cellStyle name="_Книга13_прогноз" xfId="470"/>
    <cellStyle name="_Книга13_Шаблон_мониторинг потерь_план" xfId="471"/>
    <cellStyle name="_Книга15" xfId="472"/>
    <cellStyle name="_Книга15 (2)" xfId="473"/>
    <cellStyle name="_Книга15 (2)_26" xfId="474"/>
    <cellStyle name="_Книга15_Новая форма расчёта добычи" xfId="475"/>
    <cellStyle name="_Книга15_ПР декабрь" xfId="476"/>
    <cellStyle name="_Книга15_прогноз" xfId="477"/>
    <cellStyle name="_Книга15_Шаблон_мониторинг потерь_план" xfId="478"/>
    <cellStyle name="_Книга152" xfId="479"/>
    <cellStyle name="_Книга152_прогноз" xfId="480"/>
    <cellStyle name="_Книга2" xfId="481"/>
    <cellStyle name="_Книга2 (8)" xfId="482"/>
    <cellStyle name="_Книга2 (8)_прогноз" xfId="483"/>
    <cellStyle name="_Книга2 (8)_Шаблон_мониторинг потерь_план" xfId="484"/>
    <cellStyle name="_Книга2_1" xfId="485"/>
    <cellStyle name="_Книга2_1_прогноз" xfId="486"/>
    <cellStyle name="_Книга2_1_Шаблон_мониторинг потерь_план" xfId="487"/>
    <cellStyle name="_Книга2_прогноз" xfId="488"/>
    <cellStyle name="_Книга2_Шаблон_мониторинг потерь_план" xfId="489"/>
    <cellStyle name="_Книга24" xfId="490"/>
    <cellStyle name="_Книга24_прогноз" xfId="491"/>
    <cellStyle name="_Книга24_Шаблон_мониторинг потерь_план" xfId="492"/>
    <cellStyle name="_Книга4 (40)" xfId="493"/>
    <cellStyle name="_Книга5 (26)" xfId="494"/>
    <cellStyle name="_Книга7" xfId="495"/>
    <cellStyle name="_Книга72" xfId="496"/>
    <cellStyle name="_Книга72_прогноз" xfId="497"/>
    <cellStyle name="_Книга72_Шаблон_мониторинг потерь_план" xfId="498"/>
    <cellStyle name="_Книга8" xfId="499"/>
    <cellStyle name="_Книга85" xfId="500"/>
    <cellStyle name="_Книга85_Новая форма расчёта добычи" xfId="501"/>
    <cellStyle name="_Книга85_ПР декабрь" xfId="502"/>
    <cellStyle name="_Книга85_прогноз" xfId="503"/>
    <cellStyle name="_Книга85_Шаблон_мониторинг потерь_план" xfId="504"/>
    <cellStyle name="_Копия Расчет - 24.05.05" xfId="505"/>
    <cellStyle name="_Копия Расчет - 24.05.05_прогноз" xfId="506"/>
    <cellStyle name="_Копия Расчет - 24.05.05_Шаблон_мониторинг потерь_план" xfId="507"/>
    <cellStyle name="_Копия Расчет 28.04.04" xfId="508"/>
    <cellStyle name="_Копия Расчет 28.04.04_прогноз" xfId="509"/>
    <cellStyle name="_Копия Расчет 28.04.04_Шаблон_мониторинг потерь_план" xfId="510"/>
    <cellStyle name="_Копия Расчет на 20.07" xfId="511"/>
    <cellStyle name="_Копия Расчет на 20.07_прогноз" xfId="512"/>
    <cellStyle name="_Копия Расчет на 20.07_Шаблон_мониторинг потерь_план" xfId="513"/>
    <cellStyle name="_Копия Расчет суточной добычи по  ЦДНГ 11 24 января 2006" xfId="514"/>
    <cellStyle name="_Копия Расчет суточной добычи по  ЦДНГ 11 24 января 2006_прогноз" xfId="515"/>
    <cellStyle name="_Копия Расчет суточной добычи по  ЦДНГ 11 24 января 2006_Шаблон_мониторинг потерь_план" xfId="516"/>
    <cellStyle name="_Копия Расчет суточной добычи по ЦДНГ-10 26.03.05-2" xfId="517"/>
    <cellStyle name="_Копия Расчет суточной добычи по ЦДНГ-10 26.03.05-2_прогноз" xfId="518"/>
    <cellStyle name="_Копия Расчет суточной добычи по ЦДНГ-10 26.03.05-2_Шаблон_мониторинг потерь_план" xfId="519"/>
    <cellStyle name="_Копия Снижение ПРБ 20.12.04" xfId="520"/>
    <cellStyle name="_Копия Снижение ПРБ 20.12.04_прогноз" xfId="521"/>
    <cellStyle name="_Копия Снижение ПРБ 20.12.04_Шаблон_мониторинг потерь_план" xfId="522"/>
    <cellStyle name="_Копия форма1" xfId="523"/>
    <cellStyle name="_Копия форма1_Новая форма расчёта добычи" xfId="524"/>
    <cellStyle name="_Копия форма1_ПР декабрь" xfId="525"/>
    <cellStyle name="_Копия форма1_прогноз" xfId="526"/>
    <cellStyle name="_Копия форма1_Шаблон_мониторинг потерь_план" xfId="527"/>
    <cellStyle name="_Лист6" xfId="528"/>
    <cellStyle name="_Лист6_прогноз" xfId="529"/>
    <cellStyle name="_Лист6_Шаблон_мониторинг потерь_план" xfId="530"/>
    <cellStyle name="_Майский регион.Сут. рапорт нач. смены -10.04." xfId="531"/>
    <cellStyle name="_Майский регион.Сут. рапорт нач. смены -10.04._Новая форма расчёта добычи" xfId="532"/>
    <cellStyle name="_Майский регион.Сут. рапорт нач. смены -10.04._ПР декабрь" xfId="533"/>
    <cellStyle name="_Майский регион.Сут. рапорт нач. смены -10.04._прогноз" xfId="534"/>
    <cellStyle name="_Майский регион.Сут. рапорт нач. смены -10.04._Шаблон_мониторинг потерь_план" xfId="535"/>
    <cellStyle name="_МР июль  факт (version 2)1 (2)" xfId="536"/>
    <cellStyle name="_МР июль  факт (version 2)1 (2)_Новая форма расчёта добычи" xfId="537"/>
    <cellStyle name="_МР июль  факт (version 2)1 (2)_ПР декабрь" xfId="538"/>
    <cellStyle name="_МР июль  факт (version 2)1 (2)_прогноз" xfId="539"/>
    <cellStyle name="_МР июль  факт (version 2)1 (2)_Шаблон_мониторинг потерь_план" xfId="540"/>
    <cellStyle name="_МР июль  факт (version 2)1 (3)" xfId="541"/>
    <cellStyle name="_МР июль  факт (version 2)1 (3)_Новая форма расчёта добычи" xfId="542"/>
    <cellStyle name="_МР июль  факт (version 2)1 (3)_ПР декабрь" xfId="543"/>
    <cellStyle name="_МР июль  факт (version 2)1 (3)_прогноз" xfId="544"/>
    <cellStyle name="_МР июль  факт (version 2)1 (3)_Шаблон_мониторинг потерь_план" xfId="545"/>
    <cellStyle name="_МР июль ожидаемое2" xfId="546"/>
    <cellStyle name="_МР июль ожидаемое2_Новая форма расчёта добычи" xfId="547"/>
    <cellStyle name="_МР июль ожидаемое2_ПР декабрь" xfId="548"/>
    <cellStyle name="_МР июль ожидаемое2_прогноз" xfId="549"/>
    <cellStyle name="_МР июль ожидаемое2_Шаблон_мониторинг потерь_план" xfId="550"/>
    <cellStyle name="_МсР-Запуски-остановки-вывод(для корректировки 26.10)1" xfId="551"/>
    <cellStyle name="_МсР-Запуски-остановки-вывод(для корректировки 26.10)1_Новая форма расчёта добычи" xfId="552"/>
    <cellStyle name="_МсР-Запуски-остановки-вывод(для корректировки 26.10)1_ПР декабрь" xfId="553"/>
    <cellStyle name="_МсР-Запуски-остановки-вывод(для корректировки 26.10)1_прогноз" xfId="554"/>
    <cellStyle name="_МсР-Запуски-остановки-вывод(для корректировки 26.10)1_Шаблон_мониторинг потерь_план" xfId="555"/>
    <cellStyle name="_На выводе 13.04 " xfId="556"/>
    <cellStyle name="_На выводе 13.04 _Новая форма расчёта добычи" xfId="557"/>
    <cellStyle name="_На выводе 13.04 _ПР декабрь" xfId="558"/>
    <cellStyle name="_На выводе 13.04 _прогноз" xfId="559"/>
    <cellStyle name="_На выводе 13.04 _Шаблон_мониторинг потерь_план" xfId="560"/>
    <cellStyle name="_НГДУ-ПН ( ЦДНГ-6 )5" xfId="561"/>
    <cellStyle name="_НГДУ-ПН ( ЦДНГ-6 )5_прогноз" xfId="562"/>
    <cellStyle name="_НГДУ-ПН ( ЦДНГ-6 )5_Шаблон_мониторинг потерь_план" xfId="563"/>
    <cellStyle name="_Нераб.фонд Приоб.регион" xfId="564"/>
    <cellStyle name="_Нераб.фонд Приоб.регион_прогноз" xfId="565"/>
    <cellStyle name="_Нераб.фонд Приоб.регион_Шаблон_мониторинг потерь_план" xfId="566"/>
    <cellStyle name="_Нераб.фонд1" xfId="567"/>
    <cellStyle name="_Нераб.фонд1_Новая форма расчёта добычи" xfId="568"/>
    <cellStyle name="_Нераб.фонд1_ПР декабрь" xfId="569"/>
    <cellStyle name="_Нераб.фонд1_прогноз" xfId="570"/>
    <cellStyle name="_Нераб.фонд1_Шаблон_мониторинг потерь_план" xfId="571"/>
    <cellStyle name="_Нирвана" xfId="572"/>
    <cellStyle name="_Нирвана_прогноз" xfId="573"/>
    <cellStyle name="_Нирвана_Шаблон_мониторинг потерь_план" xfId="574"/>
    <cellStyle name="_Новая форма ИТОГИ" xfId="575"/>
    <cellStyle name="_Новая форма ИТОГИ_прогноз" xfId="576"/>
    <cellStyle name="_Новая форма ИТОГИ_Шаблон_мониторинг потерь_план" xfId="577"/>
    <cellStyle name="_Новая форма расчёта добычи" xfId="578"/>
    <cellStyle name="_Общая форма расчёта ЦДНГ" xfId="579"/>
    <cellStyle name="_Общая форма расчёта ЦДНГ_прогноз" xfId="580"/>
    <cellStyle name="_Общая форма расчёта ЦДНГ_Шаблон_мониторинг потерь_план" xfId="581"/>
    <cellStyle name="_общий" xfId="582"/>
    <cellStyle name="_общий_прогноз" xfId="583"/>
    <cellStyle name="_общий_Шаблон_мониторинг потерь_план" xfId="584"/>
    <cellStyle name="_Объяснение" xfId="585"/>
    <cellStyle name="_Объяснение_прогноз" xfId="586"/>
    <cellStyle name="_Объяснение_Шаблон_мониторинг потерь_план" xfId="587"/>
    <cellStyle name="_Ожид.ремонта" xfId="588"/>
    <cellStyle name="_Ожид.ремонта_прогноз" xfId="589"/>
    <cellStyle name="_Ожид.ремонта_Шаблон_мониторинг потерь_план" xfId="590"/>
    <cellStyle name="_Ожидаемое выполнение ГТМ по Майскому региону в октябре 2004 г (1.10.04 ЮНГ)" xfId="591"/>
    <cellStyle name="_Ожидаемое выполнение ГТМ по Майскому региону в октябре 2004 г (1.10.04 ЮНГ)_прогноз" xfId="592"/>
    <cellStyle name="_Ожидаемое выполнение ГТМ по Майскому региону в октябре 2004 г (1.10.04 ЮНГ)_Шаблон_мониторинг потерь_план" xfId="593"/>
    <cellStyle name="_Оперативная приобье" xfId="594"/>
    <cellStyle name="_Оперативная приобье_прогноз" xfId="595"/>
    <cellStyle name="_Оперативная приобье_Шаблон_мониторинг потерь_план" xfId="596"/>
    <cellStyle name="_Оперативная сводка 2" xfId="597"/>
    <cellStyle name="_Оперативная сводка 2_прогноз" xfId="598"/>
    <cellStyle name="_Оперативная сводка 2_Шаблон_мониторинг потерь_план" xfId="599"/>
    <cellStyle name="_ОТМ март 2005" xfId="600"/>
    <cellStyle name="_ОТМ март 2005_прогноз" xfId="601"/>
    <cellStyle name="_ОТМ март 2005_Шаблон_мониторинг потерь_план" xfId="602"/>
    <cellStyle name="_ОТМ март УЭТ на апрель 2005" xfId="603"/>
    <cellStyle name="_ОТМ март УЭТ на апрель 2005_прогноз" xfId="604"/>
    <cellStyle name="_ОТМ март УЭТ на апрель 2005_Шаблон_мониторинг потерь_план" xfId="605"/>
    <cellStyle name="_ОТМ ЦТОРТ-1 на Июнь 2005" xfId="606"/>
    <cellStyle name="_ОТМ ЦТОРТ-1 на Июнь 2005_прогноз" xfId="607"/>
    <cellStyle name="_ОТМ ЦТОРТ-1 на Июнь 2005_Шаблон_мониторинг потерь_план" xfId="608"/>
    <cellStyle name="_ОТМ ЦТОРТ-1 на май 2005" xfId="609"/>
    <cellStyle name="_ОТМ ЦТОРТ-1 на май 2005_прогноз" xfId="610"/>
    <cellStyle name="_ОТМ ЦТОРТ-1 на май 2005_Шаблон_мониторинг потерь_план" xfId="611"/>
    <cellStyle name="_Падение Рпл в январе 2005 по ЦДНГ-45" xfId="612"/>
    <cellStyle name="_Падение Рпл в январе 2005 по ЦДНГ-45_Новая форма расчёта добычи" xfId="613"/>
    <cellStyle name="_Падение Рпл в январе 2005 по ЦДНГ-45_ПР декабрь" xfId="614"/>
    <cellStyle name="_Падение Рпл в январе 2005 по ЦДНГ-45_прогноз" xfId="615"/>
    <cellStyle name="_Падение Рпл в январе 2005 по ЦДНГ-45_Шаблон_мониторинг потерь_план" xfId="616"/>
    <cellStyle name="_ПКРС - суточная" xfId="617"/>
    <cellStyle name="_План график ЦДНГ-14" xfId="618"/>
    <cellStyle name="_План график ЦДНГ-14_прогноз" xfId="619"/>
    <cellStyle name="_План график ЦДНГ-14_Шаблон_мониторинг потерь_план" xfId="620"/>
    <cellStyle name="_Планируемые потери в ноябре" xfId="621"/>
    <cellStyle name="_Планируемые потери в октябре" xfId="622"/>
    <cellStyle name="_ПНФ11" xfId="623"/>
    <cellStyle name="_Постановка бригад" xfId="624"/>
    <cellStyle name="_Постановка бригад_Новая форма расчёта добычи" xfId="625"/>
    <cellStyle name="_Постановка бригад_ПР декабрь" xfId="626"/>
    <cellStyle name="_Постановка бригад_прогноз" xfId="627"/>
    <cellStyle name="_Постановка бригад_Шаблон_мониторинг потерь_план" xfId="628"/>
    <cellStyle name="_потери 03.04" xfId="629"/>
    <cellStyle name="_потери 03.04_прогноз" xfId="630"/>
    <cellStyle name="_потери 03.04_Шаблон_мониторинг потерь_план" xfId="631"/>
    <cellStyle name="_потери нефти в августе (2)" xfId="632"/>
    <cellStyle name="_потери нефти в августе (2)_прогноз" xfId="633"/>
    <cellStyle name="_потери нефти в августе (2)_Шаблон_мониторинг потерь_план" xfId="634"/>
    <cellStyle name="_потери нефти в апреле" xfId="635"/>
    <cellStyle name="_потери нефти в апреле (2)" xfId="636"/>
    <cellStyle name="_потери нефти в июне (2)" xfId="637"/>
    <cellStyle name="_потери нефти в июне (2)_прогноз" xfId="638"/>
    <cellStyle name="_потери нефти в июне (2)_Шаблон_мониторинг потерь_план" xfId="639"/>
    <cellStyle name="_потери нефти в июнь (2)" xfId="640"/>
    <cellStyle name="_потери нефти в мае" xfId="641"/>
    <cellStyle name="_потери нефти в мае_прогноз" xfId="642"/>
    <cellStyle name="_потери нефти в мае_Шаблон_мониторинг потерь_план" xfId="643"/>
    <cellStyle name="_потери нефти в октябре (4)" xfId="644"/>
    <cellStyle name="_потери нефти в октябре (4)_прогноз" xfId="645"/>
    <cellStyle name="_потери нефти в октябре (4)_Шаблон_мониторинг потерь_план" xfId="646"/>
    <cellStyle name="_потери нефти в январе" xfId="647"/>
    <cellStyle name="_Пояснения за 26.03.05 по ПРЗ" xfId="648"/>
    <cellStyle name="_Пояснения за 26.03.05 по ПРЗ_прогноз" xfId="649"/>
    <cellStyle name="_Пояснения за 26.03.05 по ПРЗ_Шаблон_мониторинг потерь_план" xfId="650"/>
    <cellStyle name="_Пр  ГТМ  ожидаемый    за    март" xfId="651"/>
    <cellStyle name="_Пр  ГТМ  ожидаемый    за    март_Новая форма расчёта добычи" xfId="652"/>
    <cellStyle name="_Пр  ГТМ  ожидаемый    за    март_ПР декабрь" xfId="653"/>
    <cellStyle name="_Пр  ГТМ  ожидаемый    за    март_прогноз" xfId="654"/>
    <cellStyle name="_Пр  ГТМ  ожидаемый    за    март_Шаблон_мониторинг потерь_план" xfId="655"/>
    <cellStyle name="_ПР ГТМ    ожид   за    июль  25" xfId="656"/>
    <cellStyle name="_ПР ГТМ    ожид   за    июль  25_Новая форма расчёта добычи" xfId="657"/>
    <cellStyle name="_ПР ГТМ    ожид   за    июль  25_ПР декабрь" xfId="658"/>
    <cellStyle name="_ПР ГТМ    ожид   за    июль  25_прогноз" xfId="659"/>
    <cellStyle name="_ПР ГТМ    ожид   за    июль  25_Шаблон_мониторинг потерь_план" xfId="660"/>
    <cellStyle name="_ПР декабрь" xfId="661"/>
    <cellStyle name="_ПР март (0)" xfId="662"/>
    <cellStyle name="_ПР март (0)_Новая форма расчёта добычи" xfId="663"/>
    <cellStyle name="_ПР март (0)_ПР декабрь" xfId="664"/>
    <cellStyle name="_ПР март (0)_прогноз" xfId="665"/>
    <cellStyle name="_ПР март (0)_Шаблон_мониторинг потерь_план" xfId="666"/>
    <cellStyle name="_ПРБ (1)" xfId="667"/>
    <cellStyle name="_ПРБ (1)_Новая форма расчёта добычи" xfId="668"/>
    <cellStyle name="_ПРБ (1)_ПР декабрь" xfId="669"/>
    <cellStyle name="_ПРБ (1)_прогноз" xfId="670"/>
    <cellStyle name="_ПРБ (1)_Шаблон_мониторинг потерь_план" xfId="671"/>
    <cellStyle name="_ПРБ.Информация по КНС" xfId="672"/>
    <cellStyle name="_ПРБ.Суточный Рапорт" xfId="673"/>
    <cellStyle name="_ПРБ-Запуски-остановки-вывод" xfId="674"/>
    <cellStyle name="_Приложение  1" xfId="675"/>
    <cellStyle name="_Приложение  1_прогноз" xfId="676"/>
    <cellStyle name="_Приложение  1_Шаблон_мониторинг потерь_план" xfId="677"/>
    <cellStyle name="_Приложение 1 (Движение бригад)1" xfId="678"/>
    <cellStyle name="_Приложение 1 (Движение бригад)1_Новая форма расчёта добычи" xfId="679"/>
    <cellStyle name="_Приложение 1 (Движение бригад)1_ПР декабрь" xfId="680"/>
    <cellStyle name="_Приложение 1 (Движение бригад)1_прогноз" xfId="681"/>
    <cellStyle name="_Приложение 1 (Движение бригад)1_Шаблон_мониторинг потерь_план" xfId="682"/>
    <cellStyle name="_Приложение 2  Снижение дебитов - форма (2)" xfId="683"/>
    <cellStyle name="_Приложение 2  Снижение дебитов - форма (2)_прогноз" xfId="684"/>
    <cellStyle name="_Приложение 2  Снижение дебитов - форма (2)_Шаблон_мониторинг потерь_план" xfId="685"/>
    <cellStyle name="_Приложение 2  Снижение дебитов_15 08 05 (2)" xfId="686"/>
    <cellStyle name="_Приложение 2  Снижение дебитов_15 08 05 (2)_прогноз" xfId="687"/>
    <cellStyle name="_Приложение 2  Снижение дебитов_15 08 05 (2)_Шаблон_мониторинг потерь_план" xfId="688"/>
    <cellStyle name="_Приложение 2  Снижение дебитов_15 08 05 с увеличением частотыxls" xfId="689"/>
    <cellStyle name="_Приложение 2  Снижение дебитов_15 08 05 с увеличением частотыxls_прогноз" xfId="690"/>
    <cellStyle name="_Приложение 2  Снижение дебитов_15 08 05 с увеличением частотыxls_Шаблон_мониторинг потерь_план" xfId="691"/>
    <cellStyle name="_Приложение 2  Снижение дебитов_23 08 05" xfId="692"/>
    <cellStyle name="_Приложение 2  Снижение дебитов_23 08 05_прогноз" xfId="693"/>
    <cellStyle name="_Приложение 2  Снижение дебитов_23 08 05_Шаблон_мониторинг потерь_план" xfId="694"/>
    <cellStyle name="_Приложение по ЦДНГ-7 за сентябрь 2003" xfId="695"/>
    <cellStyle name="_Приложение по ЦДНГ-7 за сентябрь 2003_прогноз" xfId="696"/>
    <cellStyle name="_Приложение по ЦДНГ-7 за сентябрь 2003_Шаблон_мониторинг потерь_план" xfId="697"/>
    <cellStyle name="_Приобье-10.05" xfId="698"/>
    <cellStyle name="_Приобье-10.05_прогноз" xfId="699"/>
    <cellStyle name="_Приобье-10.05_Шаблон_мониторинг потерь_план" xfId="700"/>
    <cellStyle name="_Приобье-14.07" xfId="701"/>
    <cellStyle name="_Приобье-15.07" xfId="702"/>
    <cellStyle name="_Приобье-19.10" xfId="703"/>
    <cellStyle name="_Приобье-23.10" xfId="704"/>
    <cellStyle name="_Приобье-28.06" xfId="705"/>
    <cellStyle name="_Приобье-28.07" xfId="706"/>
    <cellStyle name="_Приобье-29.06" xfId="707"/>
    <cellStyle name="_Приобье-31.10" xfId="708"/>
    <cellStyle name="_проверка фонда" xfId="709"/>
    <cellStyle name="_проверка фонда_Новая форма расчёта добычи" xfId="710"/>
    <cellStyle name="_проверка фонда_ПР декабрь" xfId="711"/>
    <cellStyle name="_проверка фонда_прогноз" xfId="712"/>
    <cellStyle name="_проверка фонда_Шаблон_мониторинг потерь_план" xfId="713"/>
    <cellStyle name="_Прогноз добычи от 14.02.05" xfId="714"/>
    <cellStyle name="_Прогноз добычи от 14.02.05_Новая форма расчёта добычи" xfId="715"/>
    <cellStyle name="_Прогноз добычи от 14.02.05_ПР декабрь" xfId="716"/>
    <cellStyle name="_Прогноз добычи от 14.02.05_прогноз" xfId="717"/>
    <cellStyle name="_Прогноз добычи от 14.02.05_Шаблон_мониторинг потерь_план" xfId="718"/>
    <cellStyle name="_Прогноз по 07.08.08" xfId="719"/>
    <cellStyle name="_Прогноз по Майскому региону 4.10.04" xfId="720"/>
    <cellStyle name="_Прогноз по Майскому региону 4.10.04_прогноз" xfId="721"/>
    <cellStyle name="_Прогноз по Майскому региону 4.10.04_Шаблон_мониторинг потерь_план" xfId="722"/>
    <cellStyle name="_Прогноз по Майскому региону 9.10.04" xfId="723"/>
    <cellStyle name="_Прогноз по Майскому региону 9.10.04_прогноз" xfId="724"/>
    <cellStyle name="_Прогноз по Майскому региону 9.10.04_Шаблон_мониторинг потерь_план" xfId="725"/>
    <cellStyle name="_Прогноз по Майскому региону 9.10.041" xfId="726"/>
    <cellStyle name="_Прогноз по Майскому региону 9.10.041_прогноз" xfId="727"/>
    <cellStyle name="_Прогноз по Майскому региону 9.10.041_Шаблон_мониторинг потерь_план" xfId="728"/>
    <cellStyle name="_прост.фонд декабрь 2004г" xfId="729"/>
    <cellStyle name="_прост.фонд декабрь 2004г_Новая форма расчёта добычи" xfId="730"/>
    <cellStyle name="_прост.фонд декабрь 2004г_ПР декабрь" xfId="731"/>
    <cellStyle name="_прост.фонд декабрь 2004г_прогноз" xfId="732"/>
    <cellStyle name="_прост.фонд декабрь 2004г_Шаблон_мониторинг потерь_план" xfId="733"/>
    <cellStyle name="_Рапорт " xfId="734"/>
    <cellStyle name="_Рапорт _прогноз" xfId="735"/>
    <cellStyle name="_Рапорт _Шаблон_мониторинг потерь_план" xfId="736"/>
    <cellStyle name="_Рапорт бригад." xfId="737"/>
    <cellStyle name="_Рапорт бригад._прогноз" xfId="738"/>
    <cellStyle name="_Рапорт бригад._Расчет от 1.10 на 25.10(95)" xfId="739"/>
    <cellStyle name="_Рапорт бригад._Расчет от 1.10 на 25.10(95)_(10)" xfId="740"/>
    <cellStyle name="_Рапорт бригад._Расчет от 1.10 на 25.10(95)_(13)" xfId="741"/>
    <cellStyle name="_Рапорт бригад._Расчет от 1.10 на 25.10(95)_02.04" xfId="742"/>
    <cellStyle name="_Рапорт бригад._Расчет от 1.10 на 25.10(95)_10.03" xfId="743"/>
    <cellStyle name="_Рапорт бригад._Расчет от 1.10 на 25.10(95)_11.06" xfId="744"/>
    <cellStyle name="_Рапорт бригад._Расчет от 1.10 на 25.10(95)_26.02" xfId="745"/>
    <cellStyle name="_Рапорт бригад._Расчет от 1.10 на 25.10(95)_29.06" xfId="746"/>
    <cellStyle name="_Рапорт бригад._Расчет от 1.10 на 25.10(95)_Книга1" xfId="747"/>
    <cellStyle name="_Рапорт бригад._Расчет от 1.10 на 25.10(95)_Книга1_прогноз" xfId="748"/>
    <cellStyle name="_Рапорт бригад._Расчет от 1.10 на 25.10(95)_Книга1_Шаблон_мониторинг потерь_план" xfId="749"/>
    <cellStyle name="_Рапорт бригад._Расчет от 1.10 на 25.10(95)_Копия ЦДНГ-10 Суточный рапорт 25.10.05" xfId="750"/>
    <cellStyle name="_Рапорт бригад._Расчет от 1.10 на 25.10(95)_Копия ЦДНГ-10 Суточный рапорт 25.10.05_прогноз" xfId="751"/>
    <cellStyle name="_Рапорт бригад._Расчет от 1.10 на 25.10(95)_Копия ЦДНГ-10 Суточный рапорт 25.10.05_Шаблон_мониторинг потерь_план" xfId="752"/>
    <cellStyle name="_Рапорт бригад._Расчет от 1.10 на 25.10(95)_Остановки" xfId="753"/>
    <cellStyle name="_Рапорт бригад._Расчет от 1.10 на 25.10(95)_остановки_прогноз" xfId="754"/>
    <cellStyle name="_Рапорт бригад._Расчет от 1.10 на 25.10(95)_Остановки_Шаблон_мониторинг потерь_план" xfId="755"/>
    <cellStyle name="_Рапорт бригад._Расчет от 1.10 на 25.10(95)_прогноз" xfId="756"/>
    <cellStyle name="_Рапорт бригад._Расчет от 1.10 на 25.10(95)_Сут_сводки PN" xfId="757"/>
    <cellStyle name="_Рапорт бригад._Расчет от 1.10 на 25.10(95)_Сут_сводки_ПР" xfId="758"/>
    <cellStyle name="_Рапорт бригад._Расчет от 1.10 на 25.10(95)_ЦДНГ-10 Суточный рапорт 04.05.05_1" xfId="759"/>
    <cellStyle name="_Рапорт бригад._Расчет от 1.10 на 25.10(95)_ЦДНГ-10 Суточный рапорт 04.05.05_1_прогноз" xfId="760"/>
    <cellStyle name="_Рапорт бригад._Расчет от 1.10 на 25.10(95)_ЦДНГ-10 Суточный рапорт 04.05.05_1_Шаблон_мониторинг потерь_план" xfId="761"/>
    <cellStyle name="_Рапорт бригад._Расчет от 1.10 на 25.10(95)_ЦДНГ-10 Суточный рапорт 13.11.04-1" xfId="762"/>
    <cellStyle name="_Рапорт бригад._Расчет от 1.10 на 25.10(95)_ЦДНГ-10 Суточный рапорт 13.11.04-1_прогноз" xfId="763"/>
    <cellStyle name="_Рапорт бригад._Расчет от 1.10 на 25.10(95)_ЦДНГ-10 Суточный рапорт 13.11.04-1_Шаблон_мониторинг потерь_план" xfId="764"/>
    <cellStyle name="_Рапорт бригад._Расчет от 1.10 на 25.10(95)_ЦДНГ-10 Суточный рапорт 20.12.05" xfId="765"/>
    <cellStyle name="_Рапорт бригад._Расчет от 1.10 на 25.10(95)_ЦДНГ-10 Суточный рапорт 20.12.05_прогноз" xfId="766"/>
    <cellStyle name="_Рапорт бригад._Расчет от 1.10 на 25.10(95)_ЦДНГ-10 Суточный рапорт 20.12.05_Шаблон_мониторинг потерь_план" xfId="767"/>
    <cellStyle name="_Рапорт бригад._Расчет от 1.10 на 25.10(95)_ЦДНГ-10 Суточный рапорт 24.09.05 " xfId="768"/>
    <cellStyle name="_Рапорт бригад._Расчет от 1.10 на 25.10(95)_ЦДНГ-10 Суточный рапорт 24.09.05 _прогноз" xfId="769"/>
    <cellStyle name="_Рапорт бригад._Расчет от 1.10 на 25.10(95)_ЦДНГ-10 Суточный рапорт 24.09.05 _Шаблон_мониторинг потерь_план" xfId="770"/>
    <cellStyle name="_Рапорт бригад._Расчет от 1.10 на 25.10(95)_ЦДНГ-10 Суточный рапорт 27.07.04" xfId="771"/>
    <cellStyle name="_Рапорт бригад._Расчет от 1.10 на 25.10(95)_ЦДНГ-10 Суточный рапорт 27.07.04_прогноз" xfId="772"/>
    <cellStyle name="_Рапорт бригад._Расчет от 1.10 на 25.10(95)_ЦДНГ-10 Суточный рапорт 27.07.04_Шаблон_мониторинг потерь_план" xfId="773"/>
    <cellStyle name="_Рапорт бригад._Расчет от 1.10 на 25.10(95)_ЦДНГ-10 Суточный рапорт 30.09.05 " xfId="774"/>
    <cellStyle name="_Рапорт бригад._Расчет от 1.10 на 25.10(95)_ЦДНГ-10 Суточный рапорт 30.09.05 _прогноз" xfId="775"/>
    <cellStyle name="_Рапорт бригад._Расчет от 1.10 на 25.10(95)_ЦДНГ-10 Суточный рапорт 30.09.05 _Шаблон_мониторинг потерь_план" xfId="776"/>
    <cellStyle name="_Рапорт бригад._Расчет от 1.10 на 25.10(95)_Шаблон_мониторинг потерь_план" xfId="777"/>
    <cellStyle name="_Рапорт бригад._Шаблон_мониторинг потерь_план" xfId="778"/>
    <cellStyle name="_Рапорт бригад.1" xfId="779"/>
    <cellStyle name="_Рапорт бригад.1_прогноз" xfId="780"/>
    <cellStyle name="_Рапорт бригад.1_Расчет от 1.10 на 25.10(95)" xfId="781"/>
    <cellStyle name="_Рапорт бригад.1_Расчет от 1.10 на 25.10(95)_(10)" xfId="782"/>
    <cellStyle name="_Рапорт бригад.1_Расчет от 1.10 на 25.10(95)_(13)" xfId="783"/>
    <cellStyle name="_Рапорт бригад.1_Расчет от 1.10 на 25.10(95)_02.04" xfId="784"/>
    <cellStyle name="_Рапорт бригад.1_Расчет от 1.10 на 25.10(95)_10.03" xfId="785"/>
    <cellStyle name="_Рапорт бригад.1_Расчет от 1.10 на 25.10(95)_Книга1" xfId="786"/>
    <cellStyle name="_Рапорт бригад.1_Расчет от 1.10 на 25.10(95)_Книга1_Шаблон_мониторинг потерь_план" xfId="787"/>
    <cellStyle name="_Рапорт бригад.1_Расчет от 1.10 на 25.10(95)_Копия ЦДНГ-10 Суточный рапорт 25.10.05" xfId="788"/>
    <cellStyle name="_Рапорт бригад.1_Расчет от 1.10 на 25.10(95)_Копия ЦДНГ-10 Суточный рапорт 25.10.05_Шаблон_мониторинг потерь_план" xfId="789"/>
    <cellStyle name="_Рапорт бригад.1_Расчет от 1.10 на 25.10(95)_Остановки" xfId="790"/>
    <cellStyle name="_Рапорт бригад.1_Расчет от 1.10 на 25.10(95)_Остановки_Шаблон_мониторинг потерь_план" xfId="791"/>
    <cellStyle name="_Рапорт бригад.1_Расчет от 1.10 на 25.10(95)_ЦДНГ-10 Суточный рапорт 04.05.05_1" xfId="792"/>
    <cellStyle name="_Рапорт бригад.1_Расчет от 1.10 на 25.10(95)_ЦДНГ-10 Суточный рапорт 04.05.05_1_Шаблон_мониторинг потерь_план" xfId="793"/>
    <cellStyle name="_Рапорт бригад.1_Расчет от 1.10 на 25.10(95)_ЦДНГ-10 Суточный рапорт 13.11.04-1" xfId="794"/>
    <cellStyle name="_Рапорт бригад.1_Расчет от 1.10 на 25.10(95)_ЦДНГ-10 Суточный рапорт 13.11.04-1_Шаблон_мониторинг потерь_план" xfId="795"/>
    <cellStyle name="_Рапорт бригад.1_Расчет от 1.10 на 25.10(95)_ЦДНГ-10 Суточный рапорт 20.12.05" xfId="796"/>
    <cellStyle name="_Рапорт бригад.1_Расчет от 1.10 на 25.10(95)_ЦДНГ-10 Суточный рапорт 20.12.05_Шаблон_мониторинг потерь_план" xfId="797"/>
    <cellStyle name="_Рапорт бригад.1_Расчет от 1.10 на 25.10(95)_ЦДНГ-10 Суточный рапорт 24.09.05 " xfId="798"/>
    <cellStyle name="_Рапорт бригад.1_Расчет от 1.10 на 25.10(95)_ЦДНГ-10 Суточный рапорт 24.09.05 _Шаблон_мониторинг потерь_план" xfId="799"/>
    <cellStyle name="_Рапорт бригад.1_Расчет от 1.10 на 25.10(95)_ЦДНГ-10 Суточный рапорт 27.07.04" xfId="800"/>
    <cellStyle name="_Рапорт бригад.1_Расчет от 1.10 на 25.10(95)_ЦДНГ-10 Суточный рапорт 27.07.04_Шаблон_мониторинг потерь_план" xfId="801"/>
    <cellStyle name="_Рапорт бригад.1_Расчет от 1.10 на 25.10(95)_ЦДНГ-10 Суточный рапорт 30.09.05 " xfId="802"/>
    <cellStyle name="_Рапорт бригад.1_Расчет от 1.10 на 25.10(95)_ЦДНГ-10 Суточный рапорт 30.09.05 _Шаблон_мониторинг потерь_план" xfId="803"/>
    <cellStyle name="_Рапорт бригад.1_Расчет от 1.10 на 25.10(95)_Шаблон_мониторинг потерь_план" xfId="804"/>
    <cellStyle name="_Рапорт бригад.1_Шаблон_мониторинг потерь_план" xfId="805"/>
    <cellStyle name="_Рапорт1" xfId="806"/>
    <cellStyle name="_Рапорт1_Шаблон_мониторинг потерь_план" xfId="807"/>
    <cellStyle name="_РАСКУСТОВКА (ЛБ)" xfId="808"/>
    <cellStyle name="_РАСКУСТОВКА (ЛБ)_Шаблон_мониторинг потерь_план" xfId="809"/>
    <cellStyle name="_Расчет - 24.04.05" xfId="810"/>
    <cellStyle name="_Расчет - 24.04.05_Шаблон_мониторинг потерь_план" xfId="811"/>
    <cellStyle name="_Расчет 06.12.04 факт с графиком" xfId="812"/>
    <cellStyle name="_Расчет 06.12.04 факт с графиком_Шаблон_мониторинг потерь_план" xfId="813"/>
    <cellStyle name="_Расчёт 09.08.2004 г" xfId="814"/>
    <cellStyle name="_Расчёт 09.08.2004 г_Шаблон_мониторинг потерь_план" xfId="815"/>
    <cellStyle name="_расчет 13.09.2004 г" xfId="816"/>
    <cellStyle name="_расчет 13.09.2004 г_Шаблон_мониторинг потерь_план" xfId="817"/>
    <cellStyle name="_Расчет 18.07ПРБ" xfId="818"/>
    <cellStyle name="_Расчет 18.07ПРБ_Новая форма расчёта добычи" xfId="819"/>
    <cellStyle name="_Расчет 18.07ПРБ_ПР декабрь" xfId="820"/>
    <cellStyle name="_Расчет 18.07ПРБ_Шаблон_мониторинг потерь_план" xfId="821"/>
    <cellStyle name="_Расчет 20 07ПРБ (2)" xfId="822"/>
    <cellStyle name="_Расчет 20 07ПРБ (2)_Новая форма расчёта добычи" xfId="823"/>
    <cellStyle name="_Расчет 20 07ПРБ (2)_ПР декабрь" xfId="824"/>
    <cellStyle name="_Расчет 20 07ПРБ (2)_Шаблон_мониторинг потерь_план" xfId="825"/>
    <cellStyle name="_Расчёт 20.07.2004 г" xfId="826"/>
    <cellStyle name="_Расчёт 20.07.2004 г_Шаблон_мониторинг потерь_план" xfId="827"/>
    <cellStyle name="_Расчёт 23.08.2004 г" xfId="828"/>
    <cellStyle name="_Расчёт 23.08.2004 г_Шаблон_мониторинг потерь_план" xfId="829"/>
    <cellStyle name="_Расчёт 24.06.2004 г" xfId="830"/>
    <cellStyle name="_Расчёт 24.06.2004 г_Шаблон_мониторинг потерь_план" xfId="831"/>
    <cellStyle name="_Расчет 25.03.051" xfId="832"/>
    <cellStyle name="_Расчет 25.03.051_Шаблон_мониторинг потерь_план" xfId="833"/>
    <cellStyle name="_Расчет 26.06.04" xfId="834"/>
    <cellStyle name="_Расчет 26.06.04_Шаблон_мониторинг потерь_план" xfId="835"/>
    <cellStyle name="_Расчет 30.11.04" xfId="836"/>
    <cellStyle name="_Расчет 30.11.04_Шаблон_мониторинг потерь_план" xfId="837"/>
    <cellStyle name="_Расчет 31.05.041изм" xfId="838"/>
    <cellStyle name="_Расчет 31.05.041изм_Шаблон_мониторинг потерь_план" xfId="839"/>
    <cellStyle name="_Расчёт 31.05.2004 г2изм" xfId="840"/>
    <cellStyle name="_Расчёт 31.05.2004 г2изм_Шаблон_мониторинг потерь_план" xfId="841"/>
    <cellStyle name="_Расчёт добычи на ноябрь" xfId="842"/>
    <cellStyle name="_Расчет добычи на февраль 2006 (итог)" xfId="843"/>
    <cellStyle name="_Расчет добычи на февраль 2006 (итог)_Новая форма расчёта добычи" xfId="844"/>
    <cellStyle name="_Расчет добычи на февраль 2006 (итог)_ПР декабрь" xfId="845"/>
    <cellStyle name="_Расчет добычи на февраль 2006 (итог)_Шаблон_мониторинг потерь_план" xfId="846"/>
    <cellStyle name="_Расчет добычи по Приобке на 2 февраля" xfId="847"/>
    <cellStyle name="_Расчет добычи по Приобке на 2 февраля_Шаблон_мониторинг потерь_план" xfId="848"/>
    <cellStyle name="_Расчет на 17.11" xfId="849"/>
    <cellStyle name="_Расчет на 17.11_Шаблон_мониторинг потерь_план" xfId="850"/>
    <cellStyle name="_Расчет на 21.07" xfId="851"/>
    <cellStyle name="_Расчет на 21.07_Шаблон_мониторинг потерь_план" xfId="852"/>
    <cellStyle name="_Расчет от 1.10 на 25.10(95)" xfId="853"/>
    <cellStyle name="_Расчет от 1.10 на 25.10(95)_Шаблон_мониторинг потерь_план" xfId="854"/>
    <cellStyle name="_Расчет от 28.09 на 26.10" xfId="855"/>
    <cellStyle name="_Расчет от 28.09 на 26.10_Шаблон_мониторинг потерь_план" xfId="856"/>
    <cellStyle name="_Расчёт по ЦДНГ-7 с Прилож на 23.10.03" xfId="857"/>
    <cellStyle name="_Расчёт по ЦДНГ-7 с Прилож на 23.10.03_Шаблон_мониторинг потерь_план" xfId="858"/>
    <cellStyle name="_Расчет ПРБ июнь факт yа 30.06.2004" xfId="859"/>
    <cellStyle name="_Расчет ПРБ июнь факт yа 30.06.2004_Новая форма расчёта добычи" xfId="860"/>
    <cellStyle name="_Расчет ПРБ июнь факт yа 30.06.2004_ПР декабрь" xfId="861"/>
    <cellStyle name="_Расчет ПРБ июнь факт yа 30.06.2004_Шаблон_мониторинг потерь_план" xfId="862"/>
    <cellStyle name="_расчет снижения 05.10.2004 г" xfId="863"/>
    <cellStyle name="_расчет снижения 05.10.2004 г_Шаблон_мониторинг потерь_план" xfId="864"/>
    <cellStyle name="_расчет снижения Регион 27.09.2004 г" xfId="865"/>
    <cellStyle name="_расчет снижения Регион 27.09.2004 г_Шаблон_мониторинг потерь_план" xfId="866"/>
    <cellStyle name="_Расчет сут доб  по Правд  региону на  06.05.05" xfId="867"/>
    <cellStyle name="_Расчет сут доб  по Правд  региону на  06.05.05_Шаблон_мониторинг потерь_план" xfId="868"/>
    <cellStyle name="_Расчет сут доб  по Правд  региону на  09.03.05" xfId="869"/>
    <cellStyle name="_Расчет сут доб  по Правд  региону на  09.03.05_Шаблон_мониторинг потерь_план" xfId="870"/>
    <cellStyle name="_Расчет сут доб  по Правд  региону на  11.04.05" xfId="871"/>
    <cellStyle name="_Расчет сут доб  по Правд  региону на  11.04.05_Шаблон_мониторинг потерь_план" xfId="872"/>
    <cellStyle name="_Расчет сут доб  по Правд  региону на  14.03.05" xfId="873"/>
    <cellStyle name="_Расчет сут доб  по Правд  региону на  14.03.05_Шаблон_мониторинг потерь_план" xfId="874"/>
    <cellStyle name="_Расчет сут доб  по Правд  региону на  14.04.05" xfId="875"/>
    <cellStyle name="_Расчет сут доб  по Правд  региону на  14.04.05_Шаблон_мониторинг потерь_план" xfId="876"/>
    <cellStyle name="_Расчет сут доб  по Правд  региону на  16.05.05" xfId="877"/>
    <cellStyle name="_Расчет сут доб  по Правд  региону на  16.05.05_Шаблон_мониторинг потерь_план" xfId="878"/>
    <cellStyle name="_Расчет сут доб  по Правд  региону на  18.04.05" xfId="879"/>
    <cellStyle name="_Расчет сут доб  по Правд  региону на  18.04.05_Шаблон_мониторинг потерь_план" xfId="880"/>
    <cellStyle name="_Расчет сут доб  по Правд  региону на  21.03.05" xfId="881"/>
    <cellStyle name="_Расчет сут доб  по Правд  региону на  21.03.05_Шаблон_мониторинг потерь_план" xfId="882"/>
    <cellStyle name="_Расчет сут доб  по Правд  региону на  24.03.05" xfId="883"/>
    <cellStyle name="_Расчет сут доб  по Правд  региону на  24.03.05_Шаблон_мониторинг потерь_план" xfId="884"/>
    <cellStyle name="_Расчет сут доб  по Правд  региону на  24.04.05" xfId="885"/>
    <cellStyle name="_Расчет сут доб  по Правд  региону на  24.04.05_Шаблон_мониторинг потерь_план" xfId="886"/>
    <cellStyle name="_Расчет сут доб  по Правд  региону на  26.04.05" xfId="887"/>
    <cellStyle name="_Расчет сут доб  по Правд  региону на  26.04.05_Шаблон_мониторинг потерь_план" xfId="888"/>
    <cellStyle name="_Расчет сут доб  по ЦДНГ-11  24.10.04" xfId="889"/>
    <cellStyle name="_Расчет сут доб  по ЦДНГ-11  24.10.04_Шаблон_мониторинг потерь_план" xfId="890"/>
    <cellStyle name="_Расчет сут доб  по ЦДНГ-11 25.03.2005 г" xfId="891"/>
    <cellStyle name="_Расчет сут доб  по ЦДНГ-11 25.03.2005 г_Шаблон_мониторинг потерь_план" xfId="892"/>
    <cellStyle name="_Расчет сут доб  по ЦДНГ-9   25  03  05" xfId="893"/>
    <cellStyle name="_Расчет сут доб  по ЦДНГ-9   25  03  05_Шаблон_мониторинг потерь_план" xfId="894"/>
    <cellStyle name="_Расчет сут добычи  по ЦДНГ-11 23. 06.2005 г" xfId="895"/>
    <cellStyle name="_Расчет сут добычи  по ЦДНГ-11 23. 06.2005 г_Шаблон_мониторинг потерь_план" xfId="896"/>
    <cellStyle name="_Расчет сут добычи  по ЦДНГ-11 25.05.2005 г" xfId="897"/>
    <cellStyle name="_Расчет сут добычи  по ЦДНГ-11 25.05.2005 г_Шаблон_мониторинг потерь_план" xfId="898"/>
    <cellStyle name="_Расчет суточной   по   ЦДНГ-7 НГДУ ПН на 24.10.2003" xfId="899"/>
    <cellStyle name="_Расчет суточной   по   ЦДНГ-7 НГДУ ПН на 24.10.2003_Шаблон_мониторинг потерь_план" xfId="900"/>
    <cellStyle name="_Расчет суточной добычи по  ЦДНГ 11 22 сентябрь пр1" xfId="901"/>
    <cellStyle name="_Расчет суточной добычи по  ЦДНГ 11 22 сентябрь пр1_Шаблон_мониторинг потерь_план" xfId="902"/>
    <cellStyle name="_Расчет суточной добычи по  ЦДНГ 11 25 июля пр " xfId="903"/>
    <cellStyle name="_Расчет суточной добычи по  ЦДНГ 11 25 июля пр _Шаблон_мониторинг потерь_план" xfId="904"/>
    <cellStyle name="_Расчет суточной добычи по  ЦДНГ 11 31 август пр " xfId="905"/>
    <cellStyle name="_Расчет суточной добычи по  ЦДНГ 11 31 август пр _Шаблон_мониторинг потерь_план" xfId="906"/>
    <cellStyle name="_Расчет суточной добычи по УДНГ ЦДНГ 11 30 июня" xfId="907"/>
    <cellStyle name="_Расчет суточной добычи по УДНГ ЦДНГ 11 30 июня_Шаблон_мониторинг потерь_план" xfId="908"/>
    <cellStyle name="_Расчет суточной добычи по ЦДНГ-10  20.12.05" xfId="909"/>
    <cellStyle name="_Расчет суточной добычи по ЦДНГ-10  20.12.05_Шаблон_мониторинг потерь_план" xfId="910"/>
    <cellStyle name="_Расчет суточной добычи по ЦДНГ-10 23.06.05 " xfId="911"/>
    <cellStyle name="_Расчет суточной добычи по ЦДНГ-10 23.06.05 _Шаблон_мониторинг потерь_план" xfId="912"/>
    <cellStyle name="_Расчет суточной добычи по ЦДНГ-10 25.03.052" xfId="913"/>
    <cellStyle name="_Расчет суточной добычи по ЦДНГ-10 25.03.052_Шаблон_мониторинг потерь_план" xfId="914"/>
    <cellStyle name="_Свод внутрисменных потерь за ноябрь" xfId="915"/>
    <cellStyle name="_Свод внутрисменных потерь за ноябрь_Новая форма расчёта добычи" xfId="916"/>
    <cellStyle name="_Свод внутрисменных потерь за ноябрь_ПР декабрь" xfId="917"/>
    <cellStyle name="_Свод внутрисменных потерь за ноябрь_Шаблон_мониторинг потерь_план" xfId="918"/>
    <cellStyle name="_Свод ГТМ на февраль (9)" xfId="919"/>
    <cellStyle name="_Свод ГТМ на февраль (9)_Новая форма расчёта добычи" xfId="920"/>
    <cellStyle name="_Свод ГТМ на февраль (9)_ПР декабрь" xfId="921"/>
    <cellStyle name="_Свод ГТМ на февраль (9)_Шаблон_мониторинг потерь_план" xfId="922"/>
    <cellStyle name="_Свод ЮНГ январь-февраль (9) без регионов" xfId="923"/>
    <cellStyle name="_Свод ЮНГ январь-февраль (9) без регионов_Шаблон_мониторинг потерь_план" xfId="924"/>
    <cellStyle name="_Сводка для ЦИТС" xfId="925"/>
    <cellStyle name="_Сводка для ЦИТС ДОМНГ" xfId="926"/>
    <cellStyle name="_Сводка для ЦИТС ДОМНГ_Шаблон_мониторинг потерь_план" xfId="927"/>
    <cellStyle name="_Сводка для ЦИТС_Шаблон_мониторинг потерь_план" xfId="928"/>
    <cellStyle name="_Сводка по обр.клапанам (обновл., Баланс)" xfId="929"/>
    <cellStyle name="_Сводка по обр.клапанам (обновл., Баланс)_Шаблон_мониторинг потерь_план" xfId="930"/>
    <cellStyle name="_СВОДКА2005( супер)" xfId="931"/>
    <cellStyle name="_СВОДКА2005( супер)_Новая форма расчёта добычи" xfId="932"/>
    <cellStyle name="_СВОДКА2005( супер)_ПР декабрь" xfId="933"/>
    <cellStyle name="_СВОДКА2005( супер)_Шаблон_мониторинг потерь_план" xfId="934"/>
    <cellStyle name="_Сводки  ТиКРС 1.04.04 (4 часовая) март - Приобский" xfId="935"/>
    <cellStyle name="_Сводки  ТиКРС 1.04.04 (4 часовая) март - Приобский_Новая форма расчёта добычи" xfId="936"/>
    <cellStyle name="_Сводки  ТиКРС 1.04.04 (4 часовая) март - Приобский_ПР декабрь" xfId="937"/>
    <cellStyle name="_Сводки  ТиКРС 1.04.04 (4 часовая) март - Приобский_Шаблон_мониторинг потерь_план" xfId="938"/>
    <cellStyle name="_Сводки  ТиКРС 3.04.04 (4 часовая) март - Приобский" xfId="939"/>
    <cellStyle name="_Сводки  ТиКРС 3.04.04 (4 часовая) март - Приобский_Новая форма расчёта добычи" xfId="940"/>
    <cellStyle name="_Сводки  ТиКРС 3.04.04 (4 часовая) март - Приобский_ПР декабрь" xfId="941"/>
    <cellStyle name="_Сводки  ТиКРС 3.04.04 (4 часовая) март - Приобский_Шаблон_мониторинг потерь_план" xfId="942"/>
    <cellStyle name="_Сводки  ТиКРС 4.04.04 (4 часовая) март - Приобский" xfId="943"/>
    <cellStyle name="_Сводки  ТиКРС 4.04.04 (4 часовая) март - Приобский_Новая форма расчёта добычи" xfId="944"/>
    <cellStyle name="_Сводки  ТиКРС 4.04.04 (4 часовая) март - Приобский_ПР декабрь" xfId="945"/>
    <cellStyle name="_Сводки  ТиКРС 4.04.04 (4 часовая) март - Приобский_Шаблон_мониторинг потерь_план" xfId="946"/>
    <cellStyle name="_Сводки ТиКРС 10.05.04 (4 часовая) май - Приобский" xfId="947"/>
    <cellStyle name="_Сводки ТиКРС 10.05.04 (4 часовая) май - Приобский_Новая форма расчёта добычи" xfId="948"/>
    <cellStyle name="_Сводки ТиКРС 10.05.04 (4 часовая) май - Приобский_ПР декабрь" xfId="949"/>
    <cellStyle name="_Сводки ТиКРС 10.05.04 (4 часовая) май - Приобский_Шаблон_мониторинг потерь_план" xfId="950"/>
    <cellStyle name="_Сетевой (версия 1)" xfId="951"/>
    <cellStyle name="_Сетевой график  ГТМ  ТН" xfId="952"/>
    <cellStyle name="_Сетевой график ЮНГ на апрель 06 по регионам" xfId="953"/>
    <cellStyle name="_Сетевой график ЮНГ на апрель 06 по регионам_Новая форма расчёта добычи" xfId="954"/>
    <cellStyle name="_Сетевой график ЮНГ на апрель 06 по регионам_ПР декабрь" xfId="955"/>
    <cellStyle name="_Сетевой график ЮНГ на апрель 06 по регионам_Шаблон_мониторинг потерь_план" xfId="956"/>
    <cellStyle name="_Скважины ППР в июле месяце" xfId="957"/>
    <cellStyle name="_Скважины ППР в июле месяце_Новая форма расчёта добычи" xfId="958"/>
    <cellStyle name="_Скважины ППР в июле месяце_ПР декабрь" xfId="959"/>
    <cellStyle name="_Скважины ППР в июле месяце_Шаблон_мониторинг потерь_план" xfId="960"/>
    <cellStyle name="_Снижение 18 07 2005 (2)" xfId="961"/>
    <cellStyle name="_Снижение 18 07 2005 (2)_Шаблон_мониторинг потерь_план" xfId="962"/>
    <cellStyle name="_Снижение 20.07.2005 ПРБ" xfId="963"/>
    <cellStyle name="_Снижение 20.07.2005 ПРБ_Шаблон_мониторинг потерь_план" xfId="964"/>
    <cellStyle name="_Снижение 23 02 06" xfId="965"/>
    <cellStyle name="_Снижение 23 02 06_ГТМ ЮР август" xfId="966"/>
    <cellStyle name="_Снижение 23 02 06_Прогноз по 07.08.08" xfId="967"/>
    <cellStyle name="_Снижение 23 02 06_Шаблон_мониторинг потерь_план" xfId="968"/>
    <cellStyle name="_снижение 3 03 05Ю Р  (2)" xfId="969"/>
    <cellStyle name="_снижение 3 03 05Ю Р  (2)_Шаблон_мониторинг потерь_план" xfId="970"/>
    <cellStyle name="_Снижение апрель" xfId="971"/>
    <cellStyle name="_Снижение апрель_Шаблон_мониторинг потерь_план" xfId="972"/>
    <cellStyle name="_Снижение база  ЦДНГ-12 июль" xfId="973"/>
    <cellStyle name="_Снижение база  ЦДНГ-12 июль_Шаблон_мониторинг потерь_план" xfId="974"/>
    <cellStyle name="_Снижение база  ЦДНГ-14 июль" xfId="975"/>
    <cellStyle name="_Снижение база  ЦДНГ-14 июль_Шаблон_мониторинг потерь_план" xfId="976"/>
    <cellStyle name="_Снижение дебитов август" xfId="977"/>
    <cellStyle name="_Снижение дебитов август_Шаблон_мониторинг потерь_план" xfId="978"/>
    <cellStyle name="_Снижение дебитов июль" xfId="979"/>
    <cellStyle name="_Снижение дебитов июль_Шаблон_мониторинг потерь_план" xfId="980"/>
    <cellStyle name="_Снижение дебитов ноябрь МР" xfId="981"/>
    <cellStyle name="_Снижение дебитов ноябрь МР_Шаблон_мониторинг потерь_план" xfId="982"/>
    <cellStyle name="_Снижение дебитов октябрь МР " xfId="983"/>
    <cellStyle name="_Снижение дебитов октябрь МР (3)" xfId="984"/>
    <cellStyle name="_Снижение дебитов октябрь МР (3)_Шаблон_мониторинг потерь_план" xfId="985"/>
    <cellStyle name="_Снижение дебитов октябрь МР (4)" xfId="986"/>
    <cellStyle name="_Снижение дебитов октябрь МР (4)_Шаблон_мониторинг потерь_план" xfId="987"/>
    <cellStyle name="_Снижение дебитов октябрь МР _Шаблон_мониторинг потерь_план" xfId="988"/>
    <cellStyle name="20% - Акцент1" xfId="989" builtinId="30" customBuiltin="1"/>
    <cellStyle name="20% - Акцент2" xfId="990" builtinId="34" customBuiltin="1"/>
    <cellStyle name="20% - Акцент3" xfId="991" builtinId="38" customBuiltin="1"/>
    <cellStyle name="20% - Акцент4" xfId="992" builtinId="42" customBuiltin="1"/>
    <cellStyle name="20% - Акцент5" xfId="993" builtinId="46" customBuiltin="1"/>
    <cellStyle name="20% - Акцент6" xfId="994" builtinId="50" customBuiltin="1"/>
    <cellStyle name="40% - Акцент1" xfId="995" builtinId="31" customBuiltin="1"/>
    <cellStyle name="40% - Акцент2" xfId="996" builtinId="35" customBuiltin="1"/>
    <cellStyle name="40% - Акцент3" xfId="997" builtinId="39" customBuiltin="1"/>
    <cellStyle name="40% - Акцент4" xfId="998" builtinId="43" customBuiltin="1"/>
    <cellStyle name="40% - Акцент5" xfId="999" builtinId="47" customBuiltin="1"/>
    <cellStyle name="40% - Акцент6" xfId="1000" builtinId="51" customBuiltin="1"/>
    <cellStyle name="60% - Акцент1" xfId="1001" builtinId="32" customBuiltin="1"/>
    <cellStyle name="60% - Акцент2" xfId="1002" builtinId="36" customBuiltin="1"/>
    <cellStyle name="60% - Акцент3" xfId="1003" builtinId="40" customBuiltin="1"/>
    <cellStyle name="60% - Акцент4" xfId="1004" builtinId="44" customBuiltin="1"/>
    <cellStyle name="60% - Акцент5" xfId="1005" builtinId="48" customBuiltin="1"/>
    <cellStyle name="60% - Акцент6" xfId="1006" builtinId="52" customBuiltin="1"/>
    <cellStyle name="Normal_Sheet2" xfId="1007"/>
    <cellStyle name="Акцент1" xfId="1008" builtinId="29" customBuiltin="1"/>
    <cellStyle name="Акцент2" xfId="1009" builtinId="33" customBuiltin="1"/>
    <cellStyle name="Акцент3" xfId="1010" builtinId="37" customBuiltin="1"/>
    <cellStyle name="Акцент4" xfId="1011" builtinId="41" customBuiltin="1"/>
    <cellStyle name="Акцент5" xfId="1012" builtinId="45" customBuiltin="1"/>
    <cellStyle name="Акцент6" xfId="1013" builtinId="49" customBuiltin="1"/>
    <cellStyle name="Ввод " xfId="1014" builtinId="20" customBuiltin="1"/>
    <cellStyle name="Вывод" xfId="1015" builtinId="21" customBuiltin="1"/>
    <cellStyle name="Вычисление" xfId="1016" builtinId="22" customBuiltin="1"/>
    <cellStyle name="Заголовок 1" xfId="1017" builtinId="16" customBuiltin="1"/>
    <cellStyle name="Заголовок 2" xfId="1018" builtinId="17" customBuiltin="1"/>
    <cellStyle name="Заголовок 3" xfId="1019" builtinId="18" customBuiltin="1"/>
    <cellStyle name="Заголовок 4" xfId="1020" builtinId="19" customBuiltin="1"/>
    <cellStyle name="Итог" xfId="1021" builtinId="25" customBuiltin="1"/>
    <cellStyle name="Контрольная ячейка" xfId="1022" builtinId="23" customBuiltin="1"/>
    <cellStyle name="Название" xfId="1023" builtinId="15" customBuiltin="1"/>
    <cellStyle name="Нейтральный" xfId="1024" builtinId="28" customBuiltin="1"/>
    <cellStyle name="Обычный" xfId="0" builtinId="0"/>
    <cellStyle name="Обычный_DvPRSВАХ 10,01-17,01" xfId="1025"/>
    <cellStyle name="Обычный_вывод1 " xfId="1026"/>
    <cellStyle name="Обычный_Выполнение ГТМ ЮНГ 11.04" xfId="1027"/>
    <cellStyle name="Обычный_Декабрь" xfId="1028"/>
    <cellStyle name="Обычный_Лист1" xfId="1029"/>
    <cellStyle name="Обычный_ПНГ КРС 10 2005 doc" xfId="1030"/>
    <cellStyle name="Обычный_Приложение ЮНГ ноябрь" xfId="1031"/>
    <cellStyle name="Плохой" xfId="1032" builtinId="27" customBuiltin="1"/>
    <cellStyle name="Пояснение" xfId="1033" builtinId="53" customBuiltin="1"/>
    <cellStyle name="Примечание" xfId="1034" builtinId="10" customBuiltin="1"/>
    <cellStyle name="Процентный" xfId="1035" builtinId="5"/>
    <cellStyle name="Связанная ячейка" xfId="1036" builtinId="24" customBuiltin="1"/>
    <cellStyle name="Стиль 1" xfId="1037"/>
    <cellStyle name="Текст предупреждения" xfId="1038" builtinId="11" customBuiltin="1"/>
    <cellStyle name="Финансовый" xfId="1039" builtinId="3"/>
    <cellStyle name="Финансовый [0]_вывод1 " xfId="1040"/>
    <cellStyle name="Финансовый_Сетевой график на май 2006 (с одинаковыми запусками-остновками) и выводами" xfId="1041"/>
    <cellStyle name="Хороший" xfId="1042" builtinId="26" customBuiltin="1"/>
  </cellStyles>
  <dxfs count="3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EFECB"/>
      <rgbColor rgb="0000FFFF"/>
      <rgbColor rgb="00800080"/>
      <rgbColor rgb="00800000"/>
      <rgbColor rgb="00008080"/>
      <rgbColor rgb="000000FF"/>
      <rgbColor rgb="0000CCFF"/>
      <rgbColor rgb="00E4FEFE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42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Баланс запусков и остановок (База+ГТМ)</a:t>
            </a:r>
          </a:p>
        </c:rich>
      </c:tx>
      <c:layout>
        <c:manualLayout>
          <c:xMode val="edge"/>
          <c:yMode val="edge"/>
          <c:x val="0.38017133379012358"/>
          <c:y val="3.1784841075794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523549478545404E-2"/>
          <c:y val="0.17114934857950637"/>
          <c:w val="0.9564910606538195"/>
          <c:h val="0.72860722680989964"/>
        </c:manualLayout>
      </c:layout>
      <c:lineChart>
        <c:grouping val="standard"/>
        <c:varyColors val="0"/>
        <c:ser>
          <c:idx val="0"/>
          <c:order val="0"/>
          <c:tx>
            <c:strRef>
              <c:f>'Сетевой график (план)'!$A$138</c:f>
              <c:strCache>
                <c:ptCount val="1"/>
                <c:pt idx="0">
                  <c:v>Баланс запусков-остановок (план)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25" b="0" i="0" u="none" strike="noStrike" baseline="0">
                    <a:solidFill>
                      <a:srgbClr val="FF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'Сетевой график (план)'!$C$137:$AG$137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0</c:v>
                </c:pt>
                <c:pt idx="29">
                  <c:v>0</c:v>
                </c:pt>
              </c:numCache>
            </c:numRef>
          </c:cat>
          <c:val>
            <c:numRef>
              <c:f>'Сетевой график (план)'!$C$138:$AG$138</c:f>
              <c:numCache>
                <c:formatCode>0</c:formatCode>
                <c:ptCount val="31"/>
                <c:pt idx="0">
                  <c:v>-0.9642857142857153</c:v>
                </c:pt>
                <c:pt idx="1">
                  <c:v>-1.9285714285714306</c:v>
                </c:pt>
                <c:pt idx="2">
                  <c:v>41.107142857142854</c:v>
                </c:pt>
                <c:pt idx="3">
                  <c:v>40.142857142857139</c:v>
                </c:pt>
                <c:pt idx="4">
                  <c:v>39.178571428571423</c:v>
                </c:pt>
                <c:pt idx="5">
                  <c:v>80.214285714285708</c:v>
                </c:pt>
                <c:pt idx="6">
                  <c:v>79.25</c:v>
                </c:pt>
                <c:pt idx="7">
                  <c:v>70.285714285714278</c:v>
                </c:pt>
                <c:pt idx="8">
                  <c:v>185.32142857142856</c:v>
                </c:pt>
                <c:pt idx="9">
                  <c:v>184.35714285714283</c:v>
                </c:pt>
                <c:pt idx="10">
                  <c:v>183.39285714285714</c:v>
                </c:pt>
                <c:pt idx="11">
                  <c:v>212.42857142857142</c:v>
                </c:pt>
                <c:pt idx="12">
                  <c:v>211.46428571428569</c:v>
                </c:pt>
                <c:pt idx="13">
                  <c:v>210.5</c:v>
                </c:pt>
                <c:pt idx="14">
                  <c:v>209.53571428571428</c:v>
                </c:pt>
                <c:pt idx="15">
                  <c:v>208.57142857142856</c:v>
                </c:pt>
                <c:pt idx="16">
                  <c:v>207.60714285714283</c:v>
                </c:pt>
                <c:pt idx="17">
                  <c:v>206.64285714285711</c:v>
                </c:pt>
                <c:pt idx="18">
                  <c:v>205.67857142857142</c:v>
                </c:pt>
                <c:pt idx="19">
                  <c:v>199.71428571428569</c:v>
                </c:pt>
                <c:pt idx="20">
                  <c:v>198.74999999999997</c:v>
                </c:pt>
                <c:pt idx="21">
                  <c:v>197.78571428571428</c:v>
                </c:pt>
                <c:pt idx="22">
                  <c:v>196.82142857142856</c:v>
                </c:pt>
                <c:pt idx="23">
                  <c:v>195.85714285714283</c:v>
                </c:pt>
                <c:pt idx="24">
                  <c:v>194.89285714285711</c:v>
                </c:pt>
                <c:pt idx="25">
                  <c:v>193.92857142857139</c:v>
                </c:pt>
                <c:pt idx="26">
                  <c:v>192.96428571428569</c:v>
                </c:pt>
                <c:pt idx="27">
                  <c:v>281</c:v>
                </c:pt>
                <c:pt idx="28">
                  <c:v>281</c:v>
                </c:pt>
                <c:pt idx="29">
                  <c:v>281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097344"/>
        <c:axId val="199531520"/>
      </c:lineChart>
      <c:catAx>
        <c:axId val="199097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953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531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9097344"/>
        <c:crosses val="autoZero"/>
        <c:crossBetween val="between"/>
      </c:valAx>
      <c:spPr>
        <a:gradFill rotWithShape="0">
          <a:gsLst>
            <a:gs pos="0">
              <a:srgbClr val="CCFFFF"/>
            </a:gs>
            <a:gs pos="100000">
              <a:srgbClr val="E4FEFE"/>
            </a:gs>
          </a:gsLst>
          <a:path path="rect">
            <a:fillToRect l="100000" t="100000"/>
          </a:path>
        </a:gra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211" r="0.75000000000000211" t="1" header="0.51180555555555562" footer="0.51180555555555562"/>
    <c:pageSetup firstPageNumber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График добычи нефти факт  Август  и расчет</a:t>
            </a:r>
            <a:r>
              <a:rPr lang="ru-RU" baseline="0"/>
              <a:t> </a:t>
            </a:r>
            <a:r>
              <a:rPr lang="ru-RU"/>
              <a:t>Сентябрь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3.9607695209355011E-2"/>
          <c:y val="0.10946196660482355"/>
          <c:w val="0.95047183096760668"/>
          <c:h val="0.62335135657146934"/>
        </c:manualLayout>
      </c:layout>
      <c:lineChart>
        <c:grouping val="standard"/>
        <c:varyColors val="0"/>
        <c:ser>
          <c:idx val="0"/>
          <c:order val="0"/>
          <c:tx>
            <c:strRef>
              <c:f>'Сетевой график (план)'!$A$113</c:f>
              <c:strCache>
                <c:ptCount val="1"/>
                <c:pt idx="0">
                  <c:v>Август Факт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600" b="1" i="0" u="none" strike="noStrike" baseline="0">
                    <a:solidFill>
                      <a:srgbClr val="0000FF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'Сетевой график (план)'!$B$108:$AF$108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'Сетевой график (план)'!$A$114</c:f>
              <c:strCache>
                <c:ptCount val="1"/>
                <c:pt idx="0">
                  <c:v>Сентябрь расчет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600" b="1" i="0" u="none" strike="noStrike" baseline="0">
                    <a:solidFill>
                      <a:srgbClr val="FF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'Сетевой график (план)'!$B$108:$AF$108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'Сетевой график (план)'!$C$77:$AG$77</c:f>
              <c:numCache>
                <c:formatCode>0</c:formatCode>
                <c:ptCount val="31"/>
                <c:pt idx="0">
                  <c:v>8368.3285714285721</c:v>
                </c:pt>
                <c:pt idx="1">
                  <c:v>8372.1071428571449</c:v>
                </c:pt>
                <c:pt idx="2">
                  <c:v>8385.6428571428605</c:v>
                </c:pt>
                <c:pt idx="3">
                  <c:v>8381.3785714285768</c:v>
                </c:pt>
                <c:pt idx="4">
                  <c:v>8389.7142857142917</c:v>
                </c:pt>
                <c:pt idx="5">
                  <c:v>8402.2500000000073</c:v>
                </c:pt>
                <c:pt idx="6">
                  <c:v>8405.3857142857232</c:v>
                </c:pt>
                <c:pt idx="7">
                  <c:v>8435.3214285714384</c:v>
                </c:pt>
                <c:pt idx="8">
                  <c:v>8484.857142857154</c:v>
                </c:pt>
                <c:pt idx="9">
                  <c:v>8479.3928571428696</c:v>
                </c:pt>
                <c:pt idx="10">
                  <c:v>8482.9285714285852</c:v>
                </c:pt>
                <c:pt idx="11">
                  <c:v>8489.4642857143008</c:v>
                </c:pt>
                <c:pt idx="12">
                  <c:v>8481.0000000000164</c:v>
                </c:pt>
                <c:pt idx="13">
                  <c:v>8472.535714285732</c:v>
                </c:pt>
                <c:pt idx="14">
                  <c:v>8464.0714285714475</c:v>
                </c:pt>
                <c:pt idx="15">
                  <c:v>8455.6071428571631</c:v>
                </c:pt>
                <c:pt idx="16">
                  <c:v>8447.1428571428787</c:v>
                </c:pt>
                <c:pt idx="17">
                  <c:v>8440.878571428595</c:v>
                </c:pt>
                <c:pt idx="18">
                  <c:v>8441.2142857143099</c:v>
                </c:pt>
                <c:pt idx="19">
                  <c:v>8416.7500000000255</c:v>
                </c:pt>
                <c:pt idx="20">
                  <c:v>8408.2857142857411</c:v>
                </c:pt>
                <c:pt idx="21">
                  <c:v>8399.8214285714566</c:v>
                </c:pt>
                <c:pt idx="22">
                  <c:v>8391.3571428571722</c:v>
                </c:pt>
                <c:pt idx="23">
                  <c:v>8382.8928571428878</c:v>
                </c:pt>
                <c:pt idx="24">
                  <c:v>8374.4285714286034</c:v>
                </c:pt>
                <c:pt idx="25">
                  <c:v>8372.5714285714621</c:v>
                </c:pt>
                <c:pt idx="26">
                  <c:v>8370.1071428571777</c:v>
                </c:pt>
                <c:pt idx="27">
                  <c:v>8436.0000000000364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461120"/>
        <c:axId val="201495680"/>
      </c:lineChart>
      <c:catAx>
        <c:axId val="20146112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1495680"/>
        <c:crossesAt val="7000"/>
        <c:auto val="1"/>
        <c:lblAlgn val="ctr"/>
        <c:lblOffset val="100"/>
        <c:tickLblSkip val="1"/>
        <c:tickMarkSkip val="1"/>
        <c:noMultiLvlLbl val="0"/>
      </c:catAx>
      <c:valAx>
        <c:axId val="201495680"/>
        <c:scaling>
          <c:orientation val="minMax"/>
          <c:max val="10000"/>
          <c:min val="7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1461120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8979703282924588"/>
          <c:y val="0.86917416968448791"/>
          <c:w val="0.27121840300764594"/>
          <c:h val="7.792196861468270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4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233" r="0.75000000000000233" t="1" header="0.51180555555555562" footer="0.51180555555555562"/>
    <c:pageSetup paperSize="9" firstPageNumber="0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Баланс запусков и остановок (База)</a:t>
            </a:r>
          </a:p>
        </c:rich>
      </c:tx>
      <c:layout>
        <c:manualLayout>
          <c:xMode val="edge"/>
          <c:yMode val="edge"/>
          <c:x val="0.39548055374510138"/>
          <c:y val="3.17073170731709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9595619208087608E-2"/>
          <c:y val="0.17073170731707321"/>
          <c:w val="0.95029486099410365"/>
          <c:h val="0.72926829268292681"/>
        </c:manualLayout>
      </c:layout>
      <c:lineChart>
        <c:grouping val="standard"/>
        <c:varyColors val="0"/>
        <c:ser>
          <c:idx val="0"/>
          <c:order val="0"/>
          <c:tx>
            <c:strRef>
              <c:f>'Сетевой график (план)'!$A$143</c:f>
              <c:strCache>
                <c:ptCount val="1"/>
                <c:pt idx="0">
                  <c:v>Баланс запусков-остановок (план-база)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25" b="0" i="0" u="none" strike="noStrike" baseline="0">
                    <a:solidFill>
                      <a:srgbClr val="00008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'Сетевой график (план)'!$C$137:$AG$137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0</c:v>
                </c:pt>
                <c:pt idx="29">
                  <c:v>0</c:v>
                </c:pt>
              </c:numCache>
            </c:numRef>
          </c:cat>
          <c:val>
            <c:numRef>
              <c:f>'Сетевой график (план)'!$C$143:$AG$143</c:f>
              <c:numCache>
                <c:formatCode>0</c:formatCode>
                <c:ptCount val="31"/>
                <c:pt idx="0">
                  <c:v>-0.9642857142857153</c:v>
                </c:pt>
                <c:pt idx="1">
                  <c:v>-1.9285714285714306</c:v>
                </c:pt>
                <c:pt idx="2">
                  <c:v>-2.8928571428571459</c:v>
                </c:pt>
                <c:pt idx="3">
                  <c:v>-3.8571428571428612</c:v>
                </c:pt>
                <c:pt idx="4">
                  <c:v>-4.8214285714285765</c:v>
                </c:pt>
                <c:pt idx="5">
                  <c:v>-5.7857142857142918</c:v>
                </c:pt>
                <c:pt idx="6">
                  <c:v>-6.7500000000000071</c:v>
                </c:pt>
                <c:pt idx="7">
                  <c:v>-7.7142857142857224</c:v>
                </c:pt>
                <c:pt idx="8">
                  <c:v>-8.6785714285714377</c:v>
                </c:pt>
                <c:pt idx="9">
                  <c:v>-9.642857142857153</c:v>
                </c:pt>
                <c:pt idx="10">
                  <c:v>-10.607142857142868</c:v>
                </c:pt>
                <c:pt idx="11">
                  <c:v>-11.571428571428584</c:v>
                </c:pt>
                <c:pt idx="12">
                  <c:v>-12.535714285714299</c:v>
                </c:pt>
                <c:pt idx="13">
                  <c:v>-13.500000000000014</c:v>
                </c:pt>
                <c:pt idx="14">
                  <c:v>-14.46428571428573</c:v>
                </c:pt>
                <c:pt idx="15">
                  <c:v>-15.428571428571445</c:v>
                </c:pt>
                <c:pt idx="16">
                  <c:v>-16.39285714285716</c:v>
                </c:pt>
                <c:pt idx="17">
                  <c:v>-17.357142857142875</c:v>
                </c:pt>
                <c:pt idx="18">
                  <c:v>-18.321428571428591</c:v>
                </c:pt>
                <c:pt idx="19">
                  <c:v>-19.285714285714306</c:v>
                </c:pt>
                <c:pt idx="20">
                  <c:v>-20.250000000000021</c:v>
                </c:pt>
                <c:pt idx="21">
                  <c:v>-21.214285714285737</c:v>
                </c:pt>
                <c:pt idx="22">
                  <c:v>-22.178571428571452</c:v>
                </c:pt>
                <c:pt idx="23">
                  <c:v>-23.142857142857167</c:v>
                </c:pt>
                <c:pt idx="24">
                  <c:v>-24.107142857142883</c:v>
                </c:pt>
                <c:pt idx="25">
                  <c:v>-25.071428571428598</c:v>
                </c:pt>
                <c:pt idx="26">
                  <c:v>-26.035714285714313</c:v>
                </c:pt>
                <c:pt idx="27">
                  <c:v>-27.000000000000028</c:v>
                </c:pt>
                <c:pt idx="28">
                  <c:v>-27.000000000000028</c:v>
                </c:pt>
                <c:pt idx="29">
                  <c:v>-27.000000000000028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911872"/>
        <c:axId val="199836416"/>
      </c:lineChart>
      <c:catAx>
        <c:axId val="20091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983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836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0911872"/>
        <c:crosses val="autoZero"/>
        <c:crossBetween val="between"/>
      </c:valAx>
      <c:spPr>
        <a:gradFill rotWithShape="0">
          <a:gsLst>
            <a:gs pos="0">
              <a:srgbClr val="CCFFFF"/>
            </a:gs>
            <a:gs pos="100000">
              <a:srgbClr val="E4FEFE"/>
            </a:gs>
          </a:gsLst>
          <a:path path="rect">
            <a:fillToRect l="100000" t="100000"/>
          </a:path>
        </a:gra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211" r="0.75000000000000211" t="1" header="0.51180555555555562" footer="0.51180555555555562"/>
    <c:pageSetup firstPageNumber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Баланс запусков и остановок (ГТМ)</a:t>
            </a:r>
          </a:p>
        </c:rich>
      </c:tx>
      <c:layout>
        <c:manualLayout>
          <c:xMode val="edge"/>
          <c:yMode val="edge"/>
          <c:x val="0.39628070096388396"/>
          <c:y val="3.14009661835750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619479850875031E-2"/>
          <c:y val="0.16908252444360522"/>
          <c:w val="0.95636690554510451"/>
          <c:h val="0.73188578437732199"/>
        </c:manualLayout>
      </c:layout>
      <c:lineChart>
        <c:grouping val="standard"/>
        <c:varyColors val="0"/>
        <c:ser>
          <c:idx val="0"/>
          <c:order val="0"/>
          <c:tx>
            <c:strRef>
              <c:f>'Сетевой график (план)'!$A$147</c:f>
              <c:strCache>
                <c:ptCount val="1"/>
                <c:pt idx="0">
                  <c:v>Баланс запусков-остановок (план-ГТМ)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25" b="0" i="0" u="none" strike="noStrike" baseline="0">
                    <a:solidFill>
                      <a:srgbClr val="00008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'Сетевой график (план)'!$C$137:$AG$137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0</c:v>
                </c:pt>
                <c:pt idx="29">
                  <c:v>0</c:v>
                </c:pt>
              </c:numCache>
            </c:numRef>
          </c:cat>
          <c:val>
            <c:numRef>
              <c:f>'Сетевой график (план)'!$C$147:$AG$147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86</c:v>
                </c:pt>
                <c:pt idx="6">
                  <c:v>86</c:v>
                </c:pt>
                <c:pt idx="7">
                  <c:v>78</c:v>
                </c:pt>
                <c:pt idx="8">
                  <c:v>194</c:v>
                </c:pt>
                <c:pt idx="9">
                  <c:v>194</c:v>
                </c:pt>
                <c:pt idx="10">
                  <c:v>194</c:v>
                </c:pt>
                <c:pt idx="11">
                  <c:v>224</c:v>
                </c:pt>
                <c:pt idx="12">
                  <c:v>224</c:v>
                </c:pt>
                <c:pt idx="13">
                  <c:v>224</c:v>
                </c:pt>
                <c:pt idx="14">
                  <c:v>224</c:v>
                </c:pt>
                <c:pt idx="15">
                  <c:v>224</c:v>
                </c:pt>
                <c:pt idx="16">
                  <c:v>224</c:v>
                </c:pt>
                <c:pt idx="17">
                  <c:v>224</c:v>
                </c:pt>
                <c:pt idx="18">
                  <c:v>224</c:v>
                </c:pt>
                <c:pt idx="19">
                  <c:v>219</c:v>
                </c:pt>
                <c:pt idx="20">
                  <c:v>219</c:v>
                </c:pt>
                <c:pt idx="21">
                  <c:v>219</c:v>
                </c:pt>
                <c:pt idx="22">
                  <c:v>219</c:v>
                </c:pt>
                <c:pt idx="23">
                  <c:v>219</c:v>
                </c:pt>
                <c:pt idx="24">
                  <c:v>219</c:v>
                </c:pt>
                <c:pt idx="25">
                  <c:v>219</c:v>
                </c:pt>
                <c:pt idx="26">
                  <c:v>219</c:v>
                </c:pt>
                <c:pt idx="27">
                  <c:v>308</c:v>
                </c:pt>
                <c:pt idx="28">
                  <c:v>308</c:v>
                </c:pt>
                <c:pt idx="29">
                  <c:v>308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866624"/>
        <c:axId val="199868416"/>
      </c:lineChart>
      <c:catAx>
        <c:axId val="19986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986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868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9866624"/>
        <c:crosses val="autoZero"/>
        <c:crossBetween val="between"/>
      </c:valAx>
      <c:spPr>
        <a:gradFill rotWithShape="0">
          <a:gsLst>
            <a:gs pos="0">
              <a:srgbClr val="CCFFFF"/>
            </a:gs>
            <a:gs pos="100000">
              <a:srgbClr val="E4FEFE"/>
            </a:gs>
          </a:gsLst>
          <a:path path="rect">
            <a:fillToRect l="100000" t="100000"/>
          </a:path>
        </a:gra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211" r="0.75000000000000211" t="1" header="0.51180555555555562" footer="0.51180555555555562"/>
    <c:pageSetup firstPageNumber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Простаивающий фонд под ГТМ</a:t>
            </a:r>
          </a:p>
        </c:rich>
      </c:tx>
      <c:layout>
        <c:manualLayout>
          <c:xMode val="edge"/>
          <c:yMode val="edge"/>
          <c:x val="0.40876965808698829"/>
          <c:y val="3.13253012048192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8818597391381028E-2"/>
          <c:y val="0.17590382142298291"/>
          <c:w val="0.95021175353684861"/>
          <c:h val="0.72771169958549364"/>
        </c:manualLayout>
      </c:layout>
      <c:lineChart>
        <c:grouping val="standard"/>
        <c:varyColors val="0"/>
        <c:ser>
          <c:idx val="0"/>
          <c:order val="0"/>
          <c:tx>
            <c:strRef>
              <c:f>'Сетевой график (план)'!$A$150</c:f>
              <c:strCache>
                <c:ptCount val="1"/>
                <c:pt idx="0">
                  <c:v>Простаивающий фонд под ГТМ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8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'Сетевой график (план)'!$C$137:$AG$137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0</c:v>
                </c:pt>
                <c:pt idx="29">
                  <c:v>0</c:v>
                </c:pt>
              </c:numCache>
            </c:numRef>
          </c:cat>
          <c:val>
            <c:numRef>
              <c:f>'Сетевой график (план)'!$C$150:$AG$150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7.9999999999999982</c:v>
                </c:pt>
                <c:pt idx="8">
                  <c:v>7.9999999999999982</c:v>
                </c:pt>
                <c:pt idx="9">
                  <c:v>7.9999999999999982</c:v>
                </c:pt>
                <c:pt idx="10">
                  <c:v>7.9999999999999982</c:v>
                </c:pt>
                <c:pt idx="11">
                  <c:v>-20</c:v>
                </c:pt>
                <c:pt idx="12">
                  <c:v>-20</c:v>
                </c:pt>
                <c:pt idx="13">
                  <c:v>-20</c:v>
                </c:pt>
                <c:pt idx="14">
                  <c:v>-121</c:v>
                </c:pt>
                <c:pt idx="15">
                  <c:v>-121</c:v>
                </c:pt>
                <c:pt idx="16">
                  <c:v>-121</c:v>
                </c:pt>
                <c:pt idx="17">
                  <c:v>-121</c:v>
                </c:pt>
                <c:pt idx="18">
                  <c:v>-121</c:v>
                </c:pt>
                <c:pt idx="19">
                  <c:v>-94</c:v>
                </c:pt>
                <c:pt idx="20">
                  <c:v>-94</c:v>
                </c:pt>
                <c:pt idx="21">
                  <c:v>-118</c:v>
                </c:pt>
                <c:pt idx="22">
                  <c:v>-118</c:v>
                </c:pt>
                <c:pt idx="23">
                  <c:v>-118</c:v>
                </c:pt>
                <c:pt idx="24">
                  <c:v>-118</c:v>
                </c:pt>
                <c:pt idx="25">
                  <c:v>-118</c:v>
                </c:pt>
                <c:pt idx="26">
                  <c:v>-118</c:v>
                </c:pt>
                <c:pt idx="27">
                  <c:v>-118</c:v>
                </c:pt>
                <c:pt idx="28">
                  <c:v>-118</c:v>
                </c:pt>
                <c:pt idx="29">
                  <c:v>-145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289728"/>
        <c:axId val="201291264"/>
      </c:lineChart>
      <c:catAx>
        <c:axId val="20128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129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91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1289728"/>
        <c:crosses val="autoZero"/>
        <c:crossBetween val="between"/>
      </c:valAx>
      <c:spPr>
        <a:gradFill rotWithShape="0">
          <a:gsLst>
            <a:gs pos="0">
              <a:srgbClr val="CCFFFF"/>
            </a:gs>
            <a:gs pos="100000">
              <a:srgbClr val="E4FEFE"/>
            </a:gs>
          </a:gsLst>
          <a:path path="rect">
            <a:fillToRect l="100000" t="100000"/>
          </a:path>
        </a:gra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211" r="0.75000000000000211" t="1" header="0.51180555555555562" footer="0.51180555555555562"/>
    <c:pageSetup firstPageNumber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Снижение по воде и жидкости</a:t>
            </a:r>
          </a:p>
        </c:rich>
      </c:tx>
      <c:layout>
        <c:manualLayout>
          <c:xMode val="edge"/>
          <c:yMode val="edge"/>
          <c:x val="0.3923650158788502"/>
          <c:y val="3.21782178217823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4994715893174592E-2"/>
          <c:y val="0.15099009900990168"/>
          <c:w val="0.95015955879649761"/>
          <c:h val="0.74752475247524763"/>
        </c:manualLayout>
      </c:layout>
      <c:lineChart>
        <c:grouping val="standard"/>
        <c:varyColors val="0"/>
        <c:ser>
          <c:idx val="0"/>
          <c:order val="0"/>
          <c:tx>
            <c:strRef>
              <c:f>'Сетевой график (план)'!$A$247</c:f>
              <c:strCache>
                <c:ptCount val="1"/>
                <c:pt idx="0">
                  <c:v>% падения по воде и жидкости (план)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8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'Сетевой график (план)'!$C$137:$AG$137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0</c:v>
                </c:pt>
                <c:pt idx="29">
                  <c:v>0</c:v>
                </c:pt>
              </c:numCache>
            </c:numRef>
          </c:cat>
          <c:val>
            <c:numRef>
              <c:f>'Сетевой график (план)'!$C$247:$AG$247</c:f>
              <c:numCache>
                <c:formatCode>0</c:formatCode>
                <c:ptCount val="31"/>
                <c:pt idx="0">
                  <c:v>7.5</c:v>
                </c:pt>
                <c:pt idx="1">
                  <c:v>15</c:v>
                </c:pt>
                <c:pt idx="2">
                  <c:v>22.5</c:v>
                </c:pt>
                <c:pt idx="3">
                  <c:v>30</c:v>
                </c:pt>
                <c:pt idx="4">
                  <c:v>37.5</c:v>
                </c:pt>
                <c:pt idx="5">
                  <c:v>45</c:v>
                </c:pt>
                <c:pt idx="6">
                  <c:v>52.5</c:v>
                </c:pt>
                <c:pt idx="7">
                  <c:v>60</c:v>
                </c:pt>
                <c:pt idx="8">
                  <c:v>67.5</c:v>
                </c:pt>
                <c:pt idx="9">
                  <c:v>75</c:v>
                </c:pt>
                <c:pt idx="10">
                  <c:v>82.5</c:v>
                </c:pt>
                <c:pt idx="11">
                  <c:v>90</c:v>
                </c:pt>
                <c:pt idx="12">
                  <c:v>97.5</c:v>
                </c:pt>
                <c:pt idx="13">
                  <c:v>105</c:v>
                </c:pt>
                <c:pt idx="14">
                  <c:v>112.5</c:v>
                </c:pt>
                <c:pt idx="15">
                  <c:v>120</c:v>
                </c:pt>
                <c:pt idx="16">
                  <c:v>127.5</c:v>
                </c:pt>
                <c:pt idx="17">
                  <c:v>135</c:v>
                </c:pt>
                <c:pt idx="18">
                  <c:v>142.5</c:v>
                </c:pt>
                <c:pt idx="19">
                  <c:v>150</c:v>
                </c:pt>
                <c:pt idx="20">
                  <c:v>157.5</c:v>
                </c:pt>
                <c:pt idx="21">
                  <c:v>165</c:v>
                </c:pt>
                <c:pt idx="22">
                  <c:v>172.5</c:v>
                </c:pt>
                <c:pt idx="23">
                  <c:v>180</c:v>
                </c:pt>
                <c:pt idx="24">
                  <c:v>187.5</c:v>
                </c:pt>
                <c:pt idx="25">
                  <c:v>195</c:v>
                </c:pt>
                <c:pt idx="26">
                  <c:v>202.5</c:v>
                </c:pt>
                <c:pt idx="27">
                  <c:v>210</c:v>
                </c:pt>
                <c:pt idx="28">
                  <c:v>210</c:v>
                </c:pt>
                <c:pt idx="29">
                  <c:v>210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303936"/>
        <c:axId val="201305472"/>
      </c:lineChart>
      <c:catAx>
        <c:axId val="20130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130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305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1303936"/>
        <c:crosses val="autoZero"/>
        <c:crossBetween val="between"/>
      </c:valAx>
      <c:spPr>
        <a:gradFill rotWithShape="0">
          <a:gsLst>
            <a:gs pos="0">
              <a:srgbClr val="FFFF99"/>
            </a:gs>
            <a:gs pos="100000">
              <a:srgbClr val="FEFECB"/>
            </a:gs>
          </a:gsLst>
          <a:path path="rect">
            <a:fillToRect l="100000" t="100000"/>
          </a:path>
        </a:gra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211" r="0.75000000000000211" t="1" header="0.51180555555555562" footer="0.51180555555555562"/>
    <c:pageSetup firstPageNumber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Снижение по воде</a:t>
            </a:r>
          </a:p>
        </c:rich>
      </c:tx>
      <c:layout>
        <c:manualLayout>
          <c:xMode val="edge"/>
          <c:yMode val="edge"/>
          <c:x val="0.43372238597428997"/>
          <c:y val="3.21782178217823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4994715893174592E-2"/>
          <c:y val="0.15099009900990168"/>
          <c:w val="0.95015955879649761"/>
          <c:h val="0.74752475247524763"/>
        </c:manualLayout>
      </c:layout>
      <c:lineChart>
        <c:grouping val="standard"/>
        <c:varyColors val="0"/>
        <c:ser>
          <c:idx val="0"/>
          <c:order val="0"/>
          <c:tx>
            <c:strRef>
              <c:f>'Сетевой график (план)'!$A$250:$A$251</c:f>
              <c:strCache>
                <c:ptCount val="1"/>
                <c:pt idx="0">
                  <c:v>% падения по воде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8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'Сетевой график (план)'!$C$137:$AG$137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0</c:v>
                </c:pt>
                <c:pt idx="29">
                  <c:v>0</c:v>
                </c:pt>
              </c:numCache>
            </c:numRef>
          </c:cat>
          <c:val>
            <c:numRef>
              <c:f>'Сетевой график (план)'!$C$250:$AG$250</c:f>
              <c:numCache>
                <c:formatCode>0</c:formatCode>
                <c:ptCount val="31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12.5</c:v>
                </c:pt>
                <c:pt idx="5">
                  <c:v>15</c:v>
                </c:pt>
                <c:pt idx="6">
                  <c:v>17.5</c:v>
                </c:pt>
                <c:pt idx="7">
                  <c:v>20</c:v>
                </c:pt>
                <c:pt idx="8">
                  <c:v>22.5</c:v>
                </c:pt>
                <c:pt idx="9">
                  <c:v>25</c:v>
                </c:pt>
                <c:pt idx="10">
                  <c:v>27.5</c:v>
                </c:pt>
                <c:pt idx="11">
                  <c:v>30</c:v>
                </c:pt>
                <c:pt idx="12">
                  <c:v>32.5</c:v>
                </c:pt>
                <c:pt idx="13">
                  <c:v>35</c:v>
                </c:pt>
                <c:pt idx="14">
                  <c:v>37.5</c:v>
                </c:pt>
                <c:pt idx="15">
                  <c:v>40</c:v>
                </c:pt>
                <c:pt idx="16">
                  <c:v>42.5</c:v>
                </c:pt>
                <c:pt idx="17">
                  <c:v>45</c:v>
                </c:pt>
                <c:pt idx="18">
                  <c:v>47.5</c:v>
                </c:pt>
                <c:pt idx="19">
                  <c:v>50</c:v>
                </c:pt>
                <c:pt idx="20">
                  <c:v>52.5</c:v>
                </c:pt>
                <c:pt idx="21">
                  <c:v>55</c:v>
                </c:pt>
                <c:pt idx="22">
                  <c:v>57.5</c:v>
                </c:pt>
                <c:pt idx="23">
                  <c:v>60</c:v>
                </c:pt>
                <c:pt idx="24">
                  <c:v>62.5</c:v>
                </c:pt>
                <c:pt idx="25">
                  <c:v>65</c:v>
                </c:pt>
                <c:pt idx="26">
                  <c:v>67.5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961408"/>
        <c:axId val="200971392"/>
      </c:lineChart>
      <c:catAx>
        <c:axId val="20096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097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97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0961408"/>
        <c:crosses val="autoZero"/>
        <c:crossBetween val="between"/>
      </c:valAx>
      <c:spPr>
        <a:gradFill rotWithShape="0">
          <a:gsLst>
            <a:gs pos="0">
              <a:srgbClr val="FFFF99"/>
            </a:gs>
            <a:gs pos="100000">
              <a:srgbClr val="FEFECB"/>
            </a:gs>
          </a:gsLst>
          <a:path path="rect">
            <a:fillToRect l="100000" t="100000"/>
          </a:path>
        </a:gra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211" r="0.75000000000000211" t="1" header="0.51180555555555562" footer="0.51180555555555562"/>
    <c:pageSetup firstPageNumber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Снижение по жидкости</a:t>
            </a:r>
          </a:p>
        </c:rich>
      </c:tx>
      <c:layout>
        <c:manualLayout>
          <c:xMode val="edge"/>
          <c:yMode val="edge"/>
          <c:x val="0.41816260926099957"/>
          <c:y val="3.21782178217823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5550458715596332E-2"/>
          <c:y val="0.15099009900990168"/>
          <c:w val="0.94495412844036697"/>
          <c:h val="0.74752475247524763"/>
        </c:manualLayout>
      </c:layout>
      <c:lineChart>
        <c:grouping val="standard"/>
        <c:varyColors val="0"/>
        <c:ser>
          <c:idx val="0"/>
          <c:order val="0"/>
          <c:tx>
            <c:strRef>
              <c:f>'Сетевой график (план)'!$A$252:$A$253</c:f>
              <c:strCache>
                <c:ptCount val="1"/>
                <c:pt idx="0">
                  <c:v>% падения по жидкости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8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'Сетевой график (план)'!$C$137:$AG$137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0</c:v>
                </c:pt>
                <c:pt idx="29">
                  <c:v>0</c:v>
                </c:pt>
              </c:numCache>
            </c:numRef>
          </c:cat>
          <c:val>
            <c:numRef>
              <c:f>'Сетевой график (план)'!$C$252:$AG$252</c:f>
              <c:numCache>
                <c:formatCode>0</c:formatCode>
                <c:ptCount val="3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140</c:v>
                </c:pt>
                <c:pt idx="29">
                  <c:v>140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327744"/>
        <c:axId val="201329280"/>
      </c:lineChart>
      <c:catAx>
        <c:axId val="20132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132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329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1327744"/>
        <c:crosses val="autoZero"/>
        <c:crossBetween val="between"/>
      </c:valAx>
      <c:spPr>
        <a:gradFill rotWithShape="0">
          <a:gsLst>
            <a:gs pos="0">
              <a:srgbClr val="FFFF99"/>
            </a:gs>
            <a:gs pos="100000">
              <a:srgbClr val="FEFECB"/>
            </a:gs>
          </a:gsLst>
          <a:path path="rect">
            <a:fillToRect l="100000" t="100000"/>
          </a:path>
        </a:gra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211" r="0.75000000000000211" t="1" header="0.51180555555555562" footer="0.51180555555555562"/>
    <c:pageSetup firstPageNumber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8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Разовые потери, в т.ч. внутрисуточные</a:t>
            </a:r>
          </a:p>
        </c:rich>
      </c:tx>
      <c:layout>
        <c:manualLayout>
          <c:xMode val="edge"/>
          <c:yMode val="edge"/>
          <c:x val="0.44319777096642177"/>
          <c:y val="3.79310344827587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498301439917988E-3"/>
          <c:y val="0.21379310344827654"/>
          <c:w val="0.98551295509244607"/>
          <c:h val="0.62758620689655176"/>
        </c:manualLayout>
      </c:layout>
      <c:lineChart>
        <c:grouping val="standard"/>
        <c:varyColors val="0"/>
        <c:ser>
          <c:idx val="0"/>
          <c:order val="0"/>
          <c:tx>
            <c:strRef>
              <c:f>'Сетевой график (план)'!$A$279</c:f>
              <c:strCache>
                <c:ptCount val="1"/>
                <c:pt idx="0">
                  <c:v>Разовые потери (план)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8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'Сетевой график (план)'!$C$137:$AG$137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0</c:v>
                </c:pt>
                <c:pt idx="29">
                  <c:v>0</c:v>
                </c:pt>
              </c:numCache>
            </c:numRef>
          </c:cat>
          <c:val>
            <c:numRef>
              <c:f>'Сетевой график (план)'!$C$279:$AG$279</c:f>
              <c:numCache>
                <c:formatCode>0</c:formatCode>
                <c:ptCount val="31"/>
                <c:pt idx="0">
                  <c:v>10</c:v>
                </c:pt>
                <c:pt idx="1">
                  <c:v>15.357142857142858</c:v>
                </c:pt>
                <c:pt idx="2">
                  <c:v>15.357142857142858</c:v>
                </c:pt>
                <c:pt idx="3">
                  <c:v>15.357142857142858</c:v>
                </c:pt>
                <c:pt idx="4">
                  <c:v>15.357142857142858</c:v>
                </c:pt>
                <c:pt idx="5">
                  <c:v>15.357142857142858</c:v>
                </c:pt>
                <c:pt idx="6">
                  <c:v>15.357142857142858</c:v>
                </c:pt>
                <c:pt idx="7">
                  <c:v>15.357142857142858</c:v>
                </c:pt>
                <c:pt idx="8">
                  <c:v>15.357142857142858</c:v>
                </c:pt>
                <c:pt idx="9">
                  <c:v>15.357142857142858</c:v>
                </c:pt>
                <c:pt idx="10">
                  <c:v>15.357142857142858</c:v>
                </c:pt>
                <c:pt idx="11">
                  <c:v>15.357142857142858</c:v>
                </c:pt>
                <c:pt idx="12">
                  <c:v>15.357142857142858</c:v>
                </c:pt>
                <c:pt idx="13">
                  <c:v>15.357142857142858</c:v>
                </c:pt>
                <c:pt idx="14">
                  <c:v>15.357142857142858</c:v>
                </c:pt>
                <c:pt idx="15">
                  <c:v>15.357142857142858</c:v>
                </c:pt>
                <c:pt idx="16">
                  <c:v>15.357142857142858</c:v>
                </c:pt>
                <c:pt idx="17">
                  <c:v>15.357142857142858</c:v>
                </c:pt>
                <c:pt idx="18">
                  <c:v>15.357142857142858</c:v>
                </c:pt>
                <c:pt idx="19">
                  <c:v>15.357142857142858</c:v>
                </c:pt>
                <c:pt idx="20">
                  <c:v>15.357142857142858</c:v>
                </c:pt>
                <c:pt idx="21">
                  <c:v>15.357142857142858</c:v>
                </c:pt>
                <c:pt idx="22">
                  <c:v>15.357142857142858</c:v>
                </c:pt>
                <c:pt idx="23">
                  <c:v>15.357142857142858</c:v>
                </c:pt>
                <c:pt idx="24">
                  <c:v>15.357142857142858</c:v>
                </c:pt>
                <c:pt idx="25">
                  <c:v>15.357142857142858</c:v>
                </c:pt>
                <c:pt idx="26">
                  <c:v>15.357142857142858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844608"/>
        <c:axId val="201345280"/>
      </c:lineChart>
      <c:catAx>
        <c:axId val="199844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134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345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998446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211" r="0.75000000000000211" t="1" header="0.51180555555555562" footer="0.51180555555555562"/>
    <c:pageSetup firstPageNumber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График добычи нефти </a:t>
            </a:r>
            <a:r>
              <a:rPr lang="ru-RU" baseline="0"/>
              <a:t> на Февраль</a:t>
            </a:r>
            <a:endParaRPr lang="ru-RU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3.9607695209355011E-2"/>
          <c:y val="0.10946196660482355"/>
          <c:w val="0.95047183096760668"/>
          <c:h val="0.62335135657146912"/>
        </c:manualLayout>
      </c:layout>
      <c:lineChart>
        <c:grouping val="standard"/>
        <c:varyColors val="0"/>
        <c:ser>
          <c:idx val="0"/>
          <c:order val="0"/>
          <c:tx>
            <c:strRef>
              <c:f>'Сетевой график (план)'!$A$76:$B$76</c:f>
              <c:strCache>
                <c:ptCount val="1"/>
                <c:pt idx="0">
                  <c:v>Плановая добыча т/сут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600" b="1" i="0" u="none" strike="noStrike" baseline="0">
                    <a:solidFill>
                      <a:srgbClr val="0000FF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'Сетевой график (план)'!$C$4:$AF$4</c:f>
              <c:numCache>
                <c:formatCode>dd/mm/yy;@</c:formatCode>
                <c:ptCount val="30"/>
                <c:pt idx="0">
                  <c:v>42036</c:v>
                </c:pt>
                <c:pt idx="1">
                  <c:v>42037</c:v>
                </c:pt>
                <c:pt idx="2">
                  <c:v>42038</c:v>
                </c:pt>
                <c:pt idx="3">
                  <c:v>42039</c:v>
                </c:pt>
                <c:pt idx="4">
                  <c:v>42040</c:v>
                </c:pt>
                <c:pt idx="5">
                  <c:v>42041</c:v>
                </c:pt>
                <c:pt idx="6">
                  <c:v>42042</c:v>
                </c:pt>
                <c:pt idx="7">
                  <c:v>42043</c:v>
                </c:pt>
                <c:pt idx="8">
                  <c:v>42044</c:v>
                </c:pt>
                <c:pt idx="9">
                  <c:v>42045</c:v>
                </c:pt>
                <c:pt idx="10">
                  <c:v>42046</c:v>
                </c:pt>
                <c:pt idx="11">
                  <c:v>42047</c:v>
                </c:pt>
                <c:pt idx="12">
                  <c:v>42048</c:v>
                </c:pt>
                <c:pt idx="13">
                  <c:v>42049</c:v>
                </c:pt>
                <c:pt idx="14">
                  <c:v>42050</c:v>
                </c:pt>
                <c:pt idx="15">
                  <c:v>42051</c:v>
                </c:pt>
                <c:pt idx="16">
                  <c:v>42052</c:v>
                </c:pt>
                <c:pt idx="17">
                  <c:v>42053</c:v>
                </c:pt>
                <c:pt idx="18">
                  <c:v>42054</c:v>
                </c:pt>
                <c:pt idx="19">
                  <c:v>42055</c:v>
                </c:pt>
                <c:pt idx="20">
                  <c:v>42056</c:v>
                </c:pt>
                <c:pt idx="21">
                  <c:v>42057</c:v>
                </c:pt>
                <c:pt idx="22">
                  <c:v>42058</c:v>
                </c:pt>
                <c:pt idx="23">
                  <c:v>42059</c:v>
                </c:pt>
                <c:pt idx="24">
                  <c:v>42060</c:v>
                </c:pt>
                <c:pt idx="25">
                  <c:v>42061</c:v>
                </c:pt>
                <c:pt idx="26">
                  <c:v>42062</c:v>
                </c:pt>
                <c:pt idx="27">
                  <c:v>42063</c:v>
                </c:pt>
              </c:numCache>
            </c:numRef>
          </c:cat>
          <c:val>
            <c:numRef>
              <c:f>'Сетевой график (план)'!$C$76:$AG$76</c:f>
              <c:numCache>
                <c:formatCode>0</c:formatCode>
                <c:ptCount val="31"/>
                <c:pt idx="0">
                  <c:v>8189.5806451612907</c:v>
                </c:pt>
                <c:pt idx="1">
                  <c:v>8189.5806451612907</c:v>
                </c:pt>
                <c:pt idx="2">
                  <c:v>8189.5806451612907</c:v>
                </c:pt>
                <c:pt idx="3">
                  <c:v>8189.5806451612907</c:v>
                </c:pt>
                <c:pt idx="4">
                  <c:v>8189.5806451612907</c:v>
                </c:pt>
                <c:pt idx="5">
                  <c:v>8189.5806451612907</c:v>
                </c:pt>
                <c:pt idx="6">
                  <c:v>8189.5806451612907</c:v>
                </c:pt>
                <c:pt idx="7">
                  <c:v>8189.5806451612907</c:v>
                </c:pt>
                <c:pt idx="8">
                  <c:v>8189.5806451612907</c:v>
                </c:pt>
                <c:pt idx="9">
                  <c:v>8189.5806451612907</c:v>
                </c:pt>
                <c:pt idx="10">
                  <c:v>8189.5806451612907</c:v>
                </c:pt>
                <c:pt idx="11">
                  <c:v>8189.5806451612907</c:v>
                </c:pt>
                <c:pt idx="12">
                  <c:v>8189.5806451612907</c:v>
                </c:pt>
                <c:pt idx="13">
                  <c:v>8189.5806451612907</c:v>
                </c:pt>
                <c:pt idx="14">
                  <c:v>8189.5806451612907</c:v>
                </c:pt>
                <c:pt idx="15">
                  <c:v>8189.5806451612907</c:v>
                </c:pt>
                <c:pt idx="16">
                  <c:v>8189.5806451612907</c:v>
                </c:pt>
                <c:pt idx="17">
                  <c:v>8189.5806451612907</c:v>
                </c:pt>
                <c:pt idx="18">
                  <c:v>8189.5806451612907</c:v>
                </c:pt>
                <c:pt idx="19">
                  <c:v>8189.5806451612907</c:v>
                </c:pt>
                <c:pt idx="20">
                  <c:v>8189.5806451612907</c:v>
                </c:pt>
                <c:pt idx="21">
                  <c:v>8189.5806451612907</c:v>
                </c:pt>
                <c:pt idx="22">
                  <c:v>8189.5806451612907</c:v>
                </c:pt>
                <c:pt idx="23">
                  <c:v>8189.5806451612907</c:v>
                </c:pt>
                <c:pt idx="24">
                  <c:v>8189.5806451612907</c:v>
                </c:pt>
                <c:pt idx="25">
                  <c:v>8189.5806451612907</c:v>
                </c:pt>
                <c:pt idx="26">
                  <c:v>8189.5806451612907</c:v>
                </c:pt>
                <c:pt idx="27">
                  <c:v>8189.5806451612907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'Сетевой график (план)'!$A$77:$B$77</c:f>
              <c:strCache>
                <c:ptCount val="1"/>
                <c:pt idx="0">
                  <c:v>Расчетная добыча т/сут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600" b="1" i="0" u="none" strike="noStrike" baseline="0">
                    <a:solidFill>
                      <a:srgbClr val="FF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'Сетевой график (план)'!$C$4:$AF$4</c:f>
              <c:numCache>
                <c:formatCode>dd/mm/yy;@</c:formatCode>
                <c:ptCount val="30"/>
                <c:pt idx="0">
                  <c:v>42036</c:v>
                </c:pt>
                <c:pt idx="1">
                  <c:v>42037</c:v>
                </c:pt>
                <c:pt idx="2">
                  <c:v>42038</c:v>
                </c:pt>
                <c:pt idx="3">
                  <c:v>42039</c:v>
                </c:pt>
                <c:pt idx="4">
                  <c:v>42040</c:v>
                </c:pt>
                <c:pt idx="5">
                  <c:v>42041</c:v>
                </c:pt>
                <c:pt idx="6">
                  <c:v>42042</c:v>
                </c:pt>
                <c:pt idx="7">
                  <c:v>42043</c:v>
                </c:pt>
                <c:pt idx="8">
                  <c:v>42044</c:v>
                </c:pt>
                <c:pt idx="9">
                  <c:v>42045</c:v>
                </c:pt>
                <c:pt idx="10">
                  <c:v>42046</c:v>
                </c:pt>
                <c:pt idx="11">
                  <c:v>42047</c:v>
                </c:pt>
                <c:pt idx="12">
                  <c:v>42048</c:v>
                </c:pt>
                <c:pt idx="13">
                  <c:v>42049</c:v>
                </c:pt>
                <c:pt idx="14">
                  <c:v>42050</c:v>
                </c:pt>
                <c:pt idx="15">
                  <c:v>42051</c:v>
                </c:pt>
                <c:pt idx="16">
                  <c:v>42052</c:v>
                </c:pt>
                <c:pt idx="17">
                  <c:v>42053</c:v>
                </c:pt>
                <c:pt idx="18">
                  <c:v>42054</c:v>
                </c:pt>
                <c:pt idx="19">
                  <c:v>42055</c:v>
                </c:pt>
                <c:pt idx="20">
                  <c:v>42056</c:v>
                </c:pt>
                <c:pt idx="21">
                  <c:v>42057</c:v>
                </c:pt>
                <c:pt idx="22">
                  <c:v>42058</c:v>
                </c:pt>
                <c:pt idx="23">
                  <c:v>42059</c:v>
                </c:pt>
                <c:pt idx="24">
                  <c:v>42060</c:v>
                </c:pt>
                <c:pt idx="25">
                  <c:v>42061</c:v>
                </c:pt>
                <c:pt idx="26">
                  <c:v>42062</c:v>
                </c:pt>
                <c:pt idx="27">
                  <c:v>42063</c:v>
                </c:pt>
              </c:numCache>
            </c:numRef>
          </c:cat>
          <c:val>
            <c:numRef>
              <c:f>'Сетевой график (план)'!$C$77:$AG$77</c:f>
              <c:numCache>
                <c:formatCode>0</c:formatCode>
                <c:ptCount val="31"/>
                <c:pt idx="0">
                  <c:v>8368.3285714285721</c:v>
                </c:pt>
                <c:pt idx="1">
                  <c:v>8372.1071428571449</c:v>
                </c:pt>
                <c:pt idx="2">
                  <c:v>8385.6428571428605</c:v>
                </c:pt>
                <c:pt idx="3">
                  <c:v>8381.3785714285768</c:v>
                </c:pt>
                <c:pt idx="4">
                  <c:v>8389.7142857142917</c:v>
                </c:pt>
                <c:pt idx="5">
                  <c:v>8402.2500000000073</c:v>
                </c:pt>
                <c:pt idx="6">
                  <c:v>8405.3857142857232</c:v>
                </c:pt>
                <c:pt idx="7">
                  <c:v>8435.3214285714384</c:v>
                </c:pt>
                <c:pt idx="8">
                  <c:v>8484.857142857154</c:v>
                </c:pt>
                <c:pt idx="9">
                  <c:v>8479.3928571428696</c:v>
                </c:pt>
                <c:pt idx="10">
                  <c:v>8482.9285714285852</c:v>
                </c:pt>
                <c:pt idx="11">
                  <c:v>8489.4642857143008</c:v>
                </c:pt>
                <c:pt idx="12">
                  <c:v>8481.0000000000164</c:v>
                </c:pt>
                <c:pt idx="13">
                  <c:v>8472.535714285732</c:v>
                </c:pt>
                <c:pt idx="14">
                  <c:v>8464.0714285714475</c:v>
                </c:pt>
                <c:pt idx="15">
                  <c:v>8455.6071428571631</c:v>
                </c:pt>
                <c:pt idx="16">
                  <c:v>8447.1428571428787</c:v>
                </c:pt>
                <c:pt idx="17">
                  <c:v>8440.878571428595</c:v>
                </c:pt>
                <c:pt idx="18">
                  <c:v>8441.2142857143099</c:v>
                </c:pt>
                <c:pt idx="19">
                  <c:v>8416.7500000000255</c:v>
                </c:pt>
                <c:pt idx="20">
                  <c:v>8408.2857142857411</c:v>
                </c:pt>
                <c:pt idx="21">
                  <c:v>8399.8214285714566</c:v>
                </c:pt>
                <c:pt idx="22">
                  <c:v>8391.3571428571722</c:v>
                </c:pt>
                <c:pt idx="23">
                  <c:v>8382.8928571428878</c:v>
                </c:pt>
                <c:pt idx="24">
                  <c:v>8374.4285714286034</c:v>
                </c:pt>
                <c:pt idx="25">
                  <c:v>8372.5714285714621</c:v>
                </c:pt>
                <c:pt idx="26">
                  <c:v>8370.1071428571777</c:v>
                </c:pt>
                <c:pt idx="27">
                  <c:v>8436.0000000000364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437568"/>
        <c:axId val="201439104"/>
      </c:lineChart>
      <c:dateAx>
        <c:axId val="201437568"/>
        <c:scaling>
          <c:orientation val="minMax"/>
        </c:scaling>
        <c:delete val="0"/>
        <c:axPos val="b"/>
        <c:numFmt formatCode="[$-419]d\ mmm;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1439104"/>
        <c:crossesAt val="7000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201439104"/>
        <c:scaling>
          <c:orientation val="minMax"/>
          <c:max val="10000"/>
          <c:min val="7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201437568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8979702537182881"/>
          <c:y val="0.86917428424895171"/>
          <c:w val="0.27121841746525882"/>
          <c:h val="7.7921983889944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4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211" r="0.75000000000000211" t="1" header="0.51180555555555562" footer="0.51180555555555562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150</xdr:row>
      <xdr:rowOff>57150</xdr:rowOff>
    </xdr:from>
    <xdr:to>
      <xdr:col>15</xdr:col>
      <xdr:colOff>47625</xdr:colOff>
      <xdr:row>170</xdr:row>
      <xdr:rowOff>142875</xdr:rowOff>
    </xdr:to>
    <xdr:graphicFrame macro="">
      <xdr:nvGraphicFramePr>
        <xdr:cNvPr id="46831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142875</xdr:colOff>
      <xdr:row>150</xdr:row>
      <xdr:rowOff>66675</xdr:rowOff>
    </xdr:from>
    <xdr:to>
      <xdr:col>33</xdr:col>
      <xdr:colOff>695325</xdr:colOff>
      <xdr:row>170</xdr:row>
      <xdr:rowOff>161925</xdr:rowOff>
    </xdr:to>
    <xdr:graphicFrame macro="">
      <xdr:nvGraphicFramePr>
        <xdr:cNvPr id="468317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171</xdr:row>
      <xdr:rowOff>38100</xdr:rowOff>
    </xdr:from>
    <xdr:to>
      <xdr:col>15</xdr:col>
      <xdr:colOff>47625</xdr:colOff>
      <xdr:row>241</xdr:row>
      <xdr:rowOff>171450</xdr:rowOff>
    </xdr:to>
    <xdr:graphicFrame macro="">
      <xdr:nvGraphicFramePr>
        <xdr:cNvPr id="468317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114300</xdr:colOff>
      <xdr:row>171</xdr:row>
      <xdr:rowOff>19050</xdr:rowOff>
    </xdr:from>
    <xdr:to>
      <xdr:col>33</xdr:col>
      <xdr:colOff>647700</xdr:colOff>
      <xdr:row>241</xdr:row>
      <xdr:rowOff>161925</xdr:rowOff>
    </xdr:to>
    <xdr:graphicFrame macro="">
      <xdr:nvGraphicFramePr>
        <xdr:cNvPr id="468317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146050</xdr:colOff>
      <xdr:row>245</xdr:row>
      <xdr:rowOff>15875</xdr:rowOff>
    </xdr:from>
    <xdr:to>
      <xdr:col>9</xdr:col>
      <xdr:colOff>107950</xdr:colOff>
      <xdr:row>268</xdr:row>
      <xdr:rowOff>38100</xdr:rowOff>
    </xdr:to>
    <xdr:graphicFrame macro="">
      <xdr:nvGraphicFramePr>
        <xdr:cNvPr id="468317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177800</xdr:colOff>
      <xdr:row>245</xdr:row>
      <xdr:rowOff>19050</xdr:rowOff>
    </xdr:from>
    <xdr:to>
      <xdr:col>21</xdr:col>
      <xdr:colOff>549275</xdr:colOff>
      <xdr:row>268</xdr:row>
      <xdr:rowOff>41275</xdr:rowOff>
    </xdr:to>
    <xdr:graphicFrame macro="">
      <xdr:nvGraphicFramePr>
        <xdr:cNvPr id="468317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654050</xdr:colOff>
      <xdr:row>245</xdr:row>
      <xdr:rowOff>19050</xdr:rowOff>
    </xdr:from>
    <xdr:to>
      <xdr:col>33</xdr:col>
      <xdr:colOff>1063625</xdr:colOff>
      <xdr:row>268</xdr:row>
      <xdr:rowOff>41275</xdr:rowOff>
    </xdr:to>
    <xdr:graphicFrame macro="">
      <xdr:nvGraphicFramePr>
        <xdr:cNvPr id="468317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281</xdr:row>
      <xdr:rowOff>0</xdr:rowOff>
    </xdr:from>
    <xdr:to>
      <xdr:col>33</xdr:col>
      <xdr:colOff>923925</xdr:colOff>
      <xdr:row>295</xdr:row>
      <xdr:rowOff>95250</xdr:rowOff>
    </xdr:to>
    <xdr:graphicFrame macro="">
      <xdr:nvGraphicFramePr>
        <xdr:cNvPr id="4683178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180975</xdr:colOff>
      <xdr:row>81</xdr:row>
      <xdr:rowOff>76200</xdr:rowOff>
    </xdr:from>
    <xdr:to>
      <xdr:col>33</xdr:col>
      <xdr:colOff>1174750</xdr:colOff>
      <xdr:row>107</xdr:row>
      <xdr:rowOff>95250</xdr:rowOff>
    </xdr:to>
    <xdr:graphicFrame macro="">
      <xdr:nvGraphicFramePr>
        <xdr:cNvPr id="4683179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142874</xdr:colOff>
      <xdr:row>108</xdr:row>
      <xdr:rowOff>57150</xdr:rowOff>
    </xdr:from>
    <xdr:to>
      <xdr:col>33</xdr:col>
      <xdr:colOff>1143000</xdr:colOff>
      <xdr:row>132</xdr:row>
      <xdr:rowOff>19050</xdr:rowOff>
    </xdr:to>
    <xdr:graphicFrame macro="">
      <xdr:nvGraphicFramePr>
        <xdr:cNvPr id="468318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79;&#1077;&#1088;&#1074;%20&#1089;&#1090;&#1072;&#1088;&#1086;&#1081;%20&#1080;&#1085;&#1092;&#1099;/&#1053;&#1080;&#1082;&#1086;&#1083;&#1072;&#1081;/&#1056;&#1072;&#1073;&#1086;&#1090;&#1072;-2004/&#1058;&#1077;&#1093;&#1088;&#1077;&#1078;&#1080;&#1084;&#1099;/&#1053;&#1072;%20&#1089;&#1077;&#1085;&#1090;&#1103;&#1073;&#1088;&#1100;%2004/&#1040;&#1085;&#1072;&#1083;&#1080;&#1079;%20&#1076;&#1080;&#1085;&#1072;&#1084;&#1080;&#1082;&#1080;%20&#1058;&#1056;%20(&#1052;&#1040;&#1049;&#1057;&#1050;&#1048;&#1049;%20&#1056;&#1045;&#1043;&#1048;&#1054;&#1053;-&#1072;&#1074;&#1075;&#1091;&#1089;&#1090;%202004&#1075;.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cmenpriob\c\&#1052;&#1086;&#1080;%20&#1076;&#1086;&#1082;&#1091;&#1084;&#1077;&#1085;&#1090;&#1099;\%20&#1040;&#1088;&#1093;&#1080;&#1074;%202002&#1075;\&#1062;&#1044;&#1053;&#1043;-6%20avto.%202002%20&#1075;.02.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smen1\c\WINDOWS\&#1056;&#1072;&#1073;&#1086;&#1095;&#1080;&#1081;%20&#1089;&#1090;&#1086;&#1083;\&#1055;&#1086;&#1088;&#1090;&#1092;&#1077;&#1083;&#1100;\&#1062;&#1044;&#1053;&#1043;-6%20avto.%202002%20&#1075;.04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elmahnj\c\NSBOOK\NS_ES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elmahnj\c\&#1052;&#1086;&#1080;%20&#1076;&#1086;&#1082;&#1091;&#1084;&#1077;&#1085;&#1090;&#1099;\&#1055;&#1088;&#1086;&#1077;&#1082;&#1090;%20&#1087;&#1083;&#1072;&#1085;%20&#1079;&#1072;&#1076;&#1072;&#1085;&#1080;&#108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petchernp6\c\&#1052;&#1086;&#1080;%20&#1076;&#1086;&#1082;&#1091;&#1084;&#1077;&#1085;&#1090;&#1099;\&#1041;&#1040;&#1051;&#1040;&#1053;&#1057;\&#1084;&#1072;&#1081;%202002&#1075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1\GEOinfo\SERVER_UNP1\USERS\&#1052;&#1086;&#1080;%20&#1076;&#1086;&#1082;&#1091;&#1084;&#1077;&#1085;&#1090;&#1099;%20&#1058;&#1102;&#1085;&#1100;&#1082;&#1080;&#1085;%20&#1040;.&#1048;\&#1056;&#1072;&#1079;&#1085;&#1086;&#1077;-1\108&#1074;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cmenpriob\c\Documents%20and%20Settings\NachSmenPriob\Local%20Settings\Temporary%20Internet%20Files\OLK12\Cits%202003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8;&#1077;&#1078;&#1080;&#1084;&#1099;/&#1058;&#1077;&#1093;&#1088;&#1077;&#1078;&#1080;&#1084;&#1099;%202004/&#1058;&#1077;&#1093;&#1088;&#1077;&#1078;&#1080;&#1084;&#1099;%20&#1085;&#1072;%20&#1080;&#1102;&#1083;&#1100;%202004&#1075;/&#1040;&#1085;&#1072;&#1083;&#1080;&#1079;%20&#1076;&#1080;&#1085;&#1072;&#1084;&#1080;&#1082;&#1080;%20&#1058;&#1056;%20(&#1052;&#1040;&#1052;&#1054;&#1053;&#1058;&#1054;&#1042;&#1057;&#1050;&#1048;&#1049;%20&#1056;&#1045;&#1043;&#1048;&#1054;&#1053;-&#1048;&#1102;&#1085;&#1100;%202004%20&#1075;.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strikovaln\c\&#1052;&#1086;&#1080;%20&#1076;&#1086;&#1082;&#1091;&#1084;&#1077;&#1085;&#1090;&#1099;\&#1056;&#1072;&#1089;&#1095;&#1105;&#1090;%20&#1087;&#1086;&#1090;&#1077;&#1085;&#1094;&#1080;&#1072;&#1083;&#107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050\Data\work\projects\projects\&#1056;&#1053;\&#1075;&#1072;&#1079;3+(fill_from_TR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8;&#1077;&#1078;&#1080;&#1084;&#1099;/&#1058;&#1077;&#1093;&#1088;&#1077;&#1078;&#1080;&#1084;&#1099;%202004/&#1058;&#1077;&#1093;&#1088;&#1077;&#1078;&#1080;&#1084;&#1099;%20&#1085;&#1072;%20&#1086;&#1082;&#1090;&#1103;&#1073;&#1088;&#1100;%202004&#1075;/&#1040;&#1085;&#1072;&#1083;&#1080;&#1079;%20&#1076;&#1080;&#1085;&#1072;&#1084;&#1080;&#1082;&#1080;%20&#1058;&#1056;%20(&#1052;&#1040;&#1052;&#1054;&#1053;&#1058;&#1054;&#1042;&#1057;&#1050;&#1048;&#1049;%20&#1056;&#1045;&#1043;&#1048;&#1054;&#1053;-&#1057;&#1077;&#1085;&#1090;&#1103;&#1073;&#1088;&#1100;%202004%20&#1075;.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strikovaln\c\&#1052;&#1086;&#1080;%20&#1076;&#1086;&#1082;&#1091;&#1084;&#1077;&#1085;&#1090;&#1099;\&#1047;&#1091;&#1092;&#1072;&#1088;\&#1043;&#1056;&#1055;\SKIN%20analysis%20in%20pss_YNG_TN%20Fracs_20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telnikov\c\My%20document\FOND\Fond2000\&#1080;&#1085;&#1092;&#1086;%20&#1087;&#1086;&#1081;&#1084;&#1072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90;&#1077;&#1093;.&#1088;&#1077;&#1078;&#1080;&#1084;&#1042;&#1053;\&#1088;&#1072;&#1089;&#1095;&#1077;&#1090;&#1099;\WINNT\Profiles\Malyshev\&#1056;&#1072;&#1073;&#1086;&#1095;&#1080;&#1081;%20&#1089;&#1090;&#1086;&#1083;\&#1056;&#1072;&#1089;&#1095;&#1077;&#1090;%20&#1052;&#1055;&#1044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1\GEOinfo\NACH_SMEN\C\DOCUME~1\ByshovSN\LOCALS~1\Temp\&#1052;&#1077;&#1088;&#1086;&#1087;&#1088;&#1080;&#1103;&#1090;&#1080;&#1103;\&#1052;&#1077;&#1088;&#1086;&#1087;&#1088;%206.08.0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8;&#1077;&#1078;&#1080;&#1084;&#1099;/&#1058;&#1077;&#1093;&#1088;&#1077;&#1078;&#1080;&#1084;&#1099;%202004/&#1058;&#1077;&#1093;&#1088;&#1077;&#1078;&#1080;&#1084;&#1099;%20&#1085;&#1072;%20&#1072;&#1074;&#1075;&#1091;&#1089;&#1090;%202004&#1075;/&#1040;&#1085;&#1072;&#1083;&#1080;&#1079;%20&#1076;&#1080;&#1085;&#1072;&#1084;&#1080;&#1082;&#1080;%20&#1058;&#1056;%20(&#1052;&#1040;&#1052;&#1054;&#1053;&#1058;&#1054;&#1042;&#1057;&#1050;&#1048;&#1049;%20&#1056;&#1045;&#1043;&#1048;&#1054;&#1053;-&#1048;&#1102;&#1083;&#1100;%202004%20&#1075;.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1\GEOinfo\&#1058;&#1077;&#1093;&#1085;&#1086;&#1083;&#1086;&#1075;\c\&#1052;&#1086;&#1080;%20&#1076;&#1086;&#1082;&#1091;&#1084;&#1077;&#1085;&#1090;&#1099;\&#1058;&#1077;&#1093;&#1085;&#1086;&#1083;&#1086;&#1075;\FOND\PLAN\RAD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elmahnj\c\WINDOWS\&#1056;&#1072;&#1073;&#1086;&#1095;&#1080;&#1081;%20&#1089;&#1090;&#1086;&#1083;\AMK-PRS\&#1057;&#1050;&#1054;%20&#1075;&#1083;&#1091;&#1096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90;&#1077;&#1093;.&#1088;&#1077;&#1078;&#1080;&#1084;&#1042;&#1053;\&#1088;&#1072;&#1089;&#1095;&#1077;&#1090;&#1099;\WINNT\Profiles\Malyshev\&#1056;&#1072;&#1073;&#1086;&#1095;&#1080;&#1081;%20&#1089;&#1090;&#1086;&#1083;\&#1086;&#1095;&#1077;&#1090;&#1099;\&#1056;&#1072;&#1089;&#1095;&#1077;&#1090;&#1099;,&#1052;&#1056;&#1055;\&#1079;&#1072;&#1073;&#1086;&#1081;&#1085;&#1086;&#1077;\&#1056;&#1079;&#1072;&#1073;_&#1053;&#1076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1\GEOinfo\&#1043;&#1077;&#1086;&#1083;&#1086;&#1075;\c\&#1052;&#1086;&#1080;%20&#1076;&#1086;&#1082;&#1091;&#1084;&#1077;&#1085;&#1090;&#1099;\2000\SVODKA98.XLW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1\GEOinfo\&#1056;&#1072;&#1073;&#1086;&#1090;&#1072;\01%20&#1056;&#1072;&#1073;&#1086;&#1095;&#1080;&#1081;%20&#1089;&#1090;&#1086;&#1083;\&#1053;&#1086;&#1074;&#1099;&#1081;%20&#1088;&#1072;&#1089;&#1095;&#1077;&#1090;\2010\&#1056;&#1072;&#1089;&#1095;&#1077;&#1090;%20&#1085;&#1072;%20&#1040;&#1074;&#1075;&#1091;&#1089;&#1090;\Documents%20and%20Settings\sebelyalov\&#1052;&#1086;&#1080;%20&#1076;&#1086;&#1082;&#1091;&#1084;&#1077;&#1085;&#1090;&#1099;\&#1047;&#1072;&#1097;&#1080;&#1090;&#1072;\2008\&#1052;&#1077;&#1090;&#1086;&#1076;&#1080;&#1082;&#1072;\&#1042;&#1072;&#1088;&#1080;&#1072;&#1085;&#1090;%201\&#1056;&#1072;&#1089;&#1095;&#1077;&#1090;99\Tn_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1\GEOinfo\Raz_3\c\WIN\TEMP\&#1043;&#1056;&#1055;-&#1086;&#1090;&#1095;&#1077;&#109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zovoyas\c\PRIOBSKOYE%20RYTE%20BANK\&#1090;&#1077;&#1093;&#1088;&#1077;&#1078;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cmenpriob\c\Documents%20and%20Settings\NachSmenPriob\Local%20Settings\Temporary%20Internet%20Files\OLK12\Cits%2020037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1\GEOinfo\&#1044;&#1091;&#1096;&#1072;&#1077;&#1074;\c\&#1052;&#1086;&#1080;%20&#1076;&#1086;&#1082;&#1091;&#1084;&#1077;&#1085;&#1090;&#1099;\&#1054;&#1090;&#1095;&#1077;&#1090;&#1099;%2000\Tehreg%20V-00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NOLOG\C\&#1052;&#1086;&#1080;%20&#1076;&#1086;&#1082;&#1091;&#1084;&#1077;&#1085;&#1090;&#1099;\&#1058;&#1077;&#1093;&#1085;&#1086;&#1083;&#1086;&#1075;\IFORM4\infor4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80;&#1085;&#1092;&#1086;&#1088;&#1084;%204\infor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86;&#1089;&#1089;&#1090;&#1072;&#1085;&#1086;&#1074;&#1083;&#1077;&#1085;&#1085;&#1072;&#1103;_&#1074;&#1085;&#1077;&#1096;&#1085;&#1103;&#1103;_&#1089;&#1089;&#1099;&#1083;&#1082;&#1072;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ile\geology\$$$&#1040;&#1087;&#1087;&#1072;&#1088;&#1072;&#1090;%20&#1047;&#1072;&#1084;&#1077;&#1089;&#1090;&#1080;&#1090;&#1077;&#1083;&#1103;%20&#1059;&#1087;&#1088;&#1072;&#1074;&#1083;&#1103;&#1102;&#1097;&#1077;&#1075;&#1086;(&#1075;&#1083;&#1072;&#1074;&#1085;&#1086;&#1075;&#1086;%20&#1075;&#1077;&#1086;&#1083;&#1086;&#1075;&#1072;)\&#1059;&#1055;&#1055;&#1056;\&#1054;&#1090;&#1076;&#1077;&#1083;%20&#1048;&#1044;&#1053;%20&#1080;%20&#1043;&#1056;&#1055;\&#1054;&#1048;&#1044;&#1053;_&#1080;_&#1043;&#1056;&#1055;\&#1057;&#1074;&#1086;&#1076;&#1082;&#1080;\&#1044;&#1086;&#1087;.&#1052;&#1077;&#1088;&#1086;&#1087;&#1088;&#1080;&#1103;&#1090;&#1080;&#1103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or\C\DOCUME~1\ByshovSN\LOCALS~1\Temp\&#1052;&#1077;&#1088;&#1086;&#1087;&#1088;&#1080;&#1103;&#1090;&#1080;&#1103;\&#1052;&#1077;&#1088;&#1086;&#1087;&#1088;%206.08.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zovoyas\c\windows\TEMP\&#1043;&#1056;&#1055;\&#1055;&#1086;&#1090;&#1077;&#1085;&#1094;&#1080;&#1072;&#1083;\2001\&#1044;&#1072;&#1077;&#1096;&#1100;%20&#1087;&#1086;&#1090;&#1077;&#1085;&#1094;&#1080;&#1072;&#1083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qul/docy/r-yng-03/%D1%86-2%20GTM%20%D0%BF%D0%BB%D0%B0%D0%BD%20%D0%BD%D0%B0%20%D0%B0%D0%BF%D1%80%D0%B5%D0%BB%D1%8C%2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DS\bin\CDSReport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"/>
      <sheetName val="анализ"/>
      <sheetName val="Анализ динамики"/>
      <sheetName val="Мероприятия августа"/>
      <sheetName val="Мероприятия на сентябрь"/>
      <sheetName val="Брига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lan"/>
      <sheetName val="monthbase"/>
      <sheetName val="Примечания"/>
      <sheetName val="параметры"/>
      <sheetName val="июн"/>
      <sheetName val="Лист1"/>
      <sheetName val="От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H7">
            <v>2</v>
          </cell>
        </row>
        <row r="8">
          <cell r="H8">
            <v>2002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lan"/>
      <sheetName val="monthbase"/>
      <sheetName val="Примечания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D1" t="str">
            <v>легковой</v>
          </cell>
        </row>
        <row r="2">
          <cell r="D2" t="str">
            <v>грузоперевозки</v>
          </cell>
        </row>
        <row r="3">
          <cell r="D3" t="str">
            <v>вахтовый</v>
          </cell>
        </row>
        <row r="4">
          <cell r="D4" t="str">
            <v>технологический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ОС"/>
      <sheetName val="Данные по скважинам"/>
      <sheetName val="Инклинометрия"/>
      <sheetName val="Справочник по пластам"/>
      <sheetName val="Справочник ЭЦН"/>
      <sheetName val="Подбор УЭЦН"/>
      <sheetName val="Сводный расчет УЭЦН"/>
      <sheetName val="Подробный расчет УЭЦН"/>
      <sheetName val="Профиль ствола"/>
      <sheetName val="Протокол"/>
      <sheetName val="INI_CODE"/>
      <sheetName val="VAR"/>
      <sheetName val="BDCOM_CODE"/>
      <sheetName val="INCLIN_DLL_CODE"/>
      <sheetName val="Export_to_rp"/>
      <sheetName val="PROT_CODE"/>
      <sheetName val="ESP_DLL_CODE"/>
      <sheetName val="NEWCKB_CODE"/>
      <sheetName val="BETA_DLG"/>
      <sheetName val="NEW_CKB_DLG"/>
      <sheetName val="LST_CODE"/>
      <sheetName val="RUN_CODE"/>
      <sheetName val="MEST_DLG"/>
      <sheetName val="ESP_DLG"/>
      <sheetName val="NEWINK_DLG"/>
      <sheetName val="Данные_по_скважинам"/>
      <sheetName val="Справочник_по_пластам"/>
      <sheetName val="Справочник_ЭЦН"/>
      <sheetName val="Подбор_УЭЦН"/>
      <sheetName val="Сводный_расчет_УЭЦН"/>
      <sheetName val="Подробный_расчет_УЭЦН"/>
      <sheetName val="Профиль_ствола"/>
      <sheetName val="остановки"/>
      <sheetName val="запуски"/>
      <sheetName val="2002"/>
      <sheetName val="2003"/>
      <sheetName val="2004"/>
      <sheetName val="2005"/>
      <sheetName val="Справочник кабелей"/>
      <sheetName val="Справочник НКТ"/>
    </sheetNames>
    <sheetDataSet>
      <sheetData sheetId="0" refreshError="1"/>
      <sheetData sheetId="1" refreshError="1"/>
      <sheetData sheetId="2"/>
      <sheetData sheetId="3" refreshError="1">
        <row r="3">
          <cell r="A3" t="str">
            <v>NN</v>
          </cell>
          <cell r="B3" t="str">
            <v>NAME</v>
          </cell>
          <cell r="C3" t="str">
            <v>RHPL</v>
          </cell>
          <cell r="D3" t="str">
            <v>RBPL</v>
          </cell>
          <cell r="E3" t="str">
            <v>PH</v>
          </cell>
          <cell r="F3" t="str">
            <v>GF</v>
          </cell>
          <cell r="G3" t="str">
            <v>MPL</v>
          </cell>
          <cell r="H3" t="str">
            <v>T</v>
          </cell>
          <cell r="I3" t="str">
            <v>YA</v>
          </cell>
        </row>
        <row r="4">
          <cell r="A4">
            <v>23</v>
          </cell>
          <cell r="B4" t="str">
            <v>Мамонтовское¦А5-6</v>
          </cell>
          <cell r="C4">
            <v>0.88</v>
          </cell>
          <cell r="D4">
            <v>1.01</v>
          </cell>
          <cell r="E4">
            <v>79</v>
          </cell>
          <cell r="F4">
            <v>33</v>
          </cell>
          <cell r="G4">
            <v>5.48</v>
          </cell>
          <cell r="H4">
            <v>64</v>
          </cell>
          <cell r="I4">
            <v>0</v>
          </cell>
        </row>
        <row r="5">
          <cell r="A5">
            <v>24</v>
          </cell>
          <cell r="B5" t="str">
            <v>Тепловское¦Б-6</v>
          </cell>
          <cell r="C5">
            <v>0.81699999999999995</v>
          </cell>
          <cell r="D5">
            <v>1.01</v>
          </cell>
          <cell r="E5">
            <v>76</v>
          </cell>
          <cell r="F5">
            <v>34</v>
          </cell>
          <cell r="G5">
            <v>3.13</v>
          </cell>
          <cell r="H5">
            <v>73</v>
          </cell>
          <cell r="I5">
            <v>0</v>
          </cell>
        </row>
        <row r="6">
          <cell r="A6">
            <v>25</v>
          </cell>
          <cell r="B6" t="str">
            <v>Мамонтовское¦Б11</v>
          </cell>
          <cell r="C6">
            <v>0.88500000000000001</v>
          </cell>
          <cell r="D6">
            <v>1.01</v>
          </cell>
          <cell r="E6">
            <v>92</v>
          </cell>
          <cell r="F6">
            <v>45</v>
          </cell>
          <cell r="G6">
            <v>2.46</v>
          </cell>
          <cell r="H6">
            <v>78</v>
          </cell>
          <cell r="I6">
            <v>0</v>
          </cell>
        </row>
        <row r="7">
          <cell r="A7">
            <v>26</v>
          </cell>
          <cell r="B7" t="str">
            <v>Мамонтовское|A4</v>
          </cell>
          <cell r="C7">
            <v>0.878</v>
          </cell>
          <cell r="D7">
            <v>1.01</v>
          </cell>
          <cell r="E7">
            <v>82</v>
          </cell>
          <cell r="F7">
            <v>40</v>
          </cell>
          <cell r="G7">
            <v>4.1399999999999997</v>
          </cell>
          <cell r="H7">
            <v>63</v>
          </cell>
          <cell r="I7">
            <v>0</v>
          </cell>
        </row>
        <row r="8">
          <cell r="A8">
            <v>27</v>
          </cell>
          <cell r="B8" t="str">
            <v>Мамонтовское|Б8</v>
          </cell>
          <cell r="C8">
            <v>0.88700000000000001</v>
          </cell>
          <cell r="D8">
            <v>1.01</v>
          </cell>
          <cell r="E8">
            <v>85</v>
          </cell>
          <cell r="F8">
            <v>30</v>
          </cell>
          <cell r="G8">
            <v>5</v>
          </cell>
          <cell r="H8">
            <v>75</v>
          </cell>
          <cell r="I8">
            <v>0</v>
          </cell>
        </row>
      </sheetData>
      <sheetData sheetId="4" refreshError="1">
        <row r="3">
          <cell r="A3" t="str">
            <v>NS</v>
          </cell>
          <cell r="B3" t="str">
            <v>NAME</v>
          </cell>
          <cell r="C3" t="str">
            <v>QN</v>
          </cell>
          <cell r="D3" t="str">
            <v>HN</v>
          </cell>
          <cell r="E3" t="str">
            <v>Q1_</v>
          </cell>
          <cell r="F3" t="str">
            <v>H1_</v>
          </cell>
          <cell r="G3" t="str">
            <v>Q2_</v>
          </cell>
          <cell r="H3" t="str">
            <v>H2_</v>
          </cell>
          <cell r="I3" t="str">
            <v>Q3_</v>
          </cell>
          <cell r="J3" t="str">
            <v>H3_</v>
          </cell>
        </row>
        <row r="4">
          <cell r="A4">
            <v>0</v>
          </cell>
          <cell r="B4" t="str">
            <v>н/о</v>
          </cell>
        </row>
        <row r="5">
          <cell r="A5">
            <v>1</v>
          </cell>
          <cell r="B5" t="str">
            <v>ЭЦНМ5-10-1100</v>
          </cell>
          <cell r="C5">
            <v>10</v>
          </cell>
          <cell r="D5">
            <v>1100</v>
          </cell>
          <cell r="E5">
            <v>8</v>
          </cell>
          <cell r="F5">
            <v>1143</v>
          </cell>
          <cell r="G5">
            <v>10</v>
          </cell>
          <cell r="H5">
            <v>1118</v>
          </cell>
          <cell r="I5">
            <v>27</v>
          </cell>
          <cell r="J5">
            <v>688</v>
          </cell>
        </row>
        <row r="6">
          <cell r="A6">
            <v>2</v>
          </cell>
          <cell r="B6" t="str">
            <v>ЭЦНМ5-10-1300</v>
          </cell>
          <cell r="C6">
            <v>10</v>
          </cell>
          <cell r="D6">
            <v>1300</v>
          </cell>
          <cell r="E6">
            <v>8</v>
          </cell>
          <cell r="F6">
            <v>1346</v>
          </cell>
          <cell r="G6">
            <v>10</v>
          </cell>
          <cell r="H6">
            <v>1316</v>
          </cell>
          <cell r="I6">
            <v>27</v>
          </cell>
          <cell r="J6">
            <v>807</v>
          </cell>
        </row>
        <row r="7">
          <cell r="A7">
            <v>3</v>
          </cell>
          <cell r="B7" t="str">
            <v>ЭЦНМ5-10-1500</v>
          </cell>
          <cell r="C7">
            <v>10</v>
          </cell>
          <cell r="D7">
            <v>1500</v>
          </cell>
          <cell r="E7">
            <v>8</v>
          </cell>
          <cell r="F7">
            <v>1548</v>
          </cell>
          <cell r="G7">
            <v>10</v>
          </cell>
          <cell r="H7">
            <v>1514</v>
          </cell>
          <cell r="I7">
            <v>27</v>
          </cell>
          <cell r="J7">
            <v>929</v>
          </cell>
        </row>
        <row r="8">
          <cell r="A8">
            <v>4</v>
          </cell>
          <cell r="B8" t="str">
            <v>ЭЦНМ5-10-1700</v>
          </cell>
          <cell r="C8">
            <v>10</v>
          </cell>
          <cell r="D8">
            <v>1700</v>
          </cell>
          <cell r="E8">
            <v>8</v>
          </cell>
          <cell r="F8">
            <v>1755</v>
          </cell>
          <cell r="G8">
            <v>10</v>
          </cell>
          <cell r="H8">
            <v>1716</v>
          </cell>
          <cell r="I8">
            <v>27</v>
          </cell>
          <cell r="J8">
            <v>1053</v>
          </cell>
        </row>
        <row r="9">
          <cell r="A9">
            <v>5</v>
          </cell>
          <cell r="B9" t="str">
            <v>ЭЦНМ5-10-1900</v>
          </cell>
          <cell r="C9">
            <v>10</v>
          </cell>
          <cell r="D9">
            <v>1900</v>
          </cell>
          <cell r="E9">
            <v>8</v>
          </cell>
          <cell r="F9">
            <v>1962</v>
          </cell>
          <cell r="G9">
            <v>10</v>
          </cell>
          <cell r="H9">
            <v>1918</v>
          </cell>
          <cell r="I9">
            <v>27</v>
          </cell>
          <cell r="J9">
            <v>1177</v>
          </cell>
        </row>
        <row r="10">
          <cell r="A10">
            <v>6</v>
          </cell>
          <cell r="B10" t="str">
            <v>ЭЦН5А-40-1750</v>
          </cell>
          <cell r="C10">
            <v>40</v>
          </cell>
          <cell r="D10">
            <v>1750</v>
          </cell>
          <cell r="E10">
            <v>25</v>
          </cell>
          <cell r="F10">
            <v>1770</v>
          </cell>
          <cell r="G10">
            <v>40</v>
          </cell>
          <cell r="H10">
            <v>1750</v>
          </cell>
          <cell r="I10">
            <v>70</v>
          </cell>
          <cell r="J10">
            <v>1300</v>
          </cell>
        </row>
        <row r="11">
          <cell r="A11">
            <v>7</v>
          </cell>
          <cell r="B11" t="str">
            <v>ЭЦНМ5-20-1200</v>
          </cell>
          <cell r="C11">
            <v>20</v>
          </cell>
          <cell r="D11">
            <v>1200</v>
          </cell>
          <cell r="E11">
            <v>12</v>
          </cell>
          <cell r="F11">
            <v>1210</v>
          </cell>
          <cell r="G11">
            <v>20</v>
          </cell>
          <cell r="H11">
            <v>1098</v>
          </cell>
          <cell r="I11">
            <v>36</v>
          </cell>
          <cell r="J11">
            <v>732</v>
          </cell>
        </row>
        <row r="12">
          <cell r="A12">
            <v>8</v>
          </cell>
          <cell r="B12" t="str">
            <v>ЭЦНМ5-20-1460</v>
          </cell>
          <cell r="C12">
            <v>20</v>
          </cell>
          <cell r="D12">
            <v>1460</v>
          </cell>
          <cell r="E12">
            <v>12</v>
          </cell>
          <cell r="F12">
            <v>1460</v>
          </cell>
          <cell r="G12">
            <v>20</v>
          </cell>
          <cell r="H12">
            <v>1326</v>
          </cell>
          <cell r="I12">
            <v>36</v>
          </cell>
          <cell r="J12">
            <v>884</v>
          </cell>
        </row>
        <row r="13">
          <cell r="A13">
            <v>9</v>
          </cell>
          <cell r="B13" t="str">
            <v>ЭЦНМ5-20-1880</v>
          </cell>
          <cell r="C13">
            <v>20</v>
          </cell>
          <cell r="D13">
            <v>1880</v>
          </cell>
          <cell r="E13">
            <v>12</v>
          </cell>
          <cell r="F13">
            <v>1880</v>
          </cell>
          <cell r="G13">
            <v>20</v>
          </cell>
          <cell r="H13">
            <v>1710</v>
          </cell>
          <cell r="I13">
            <v>36</v>
          </cell>
          <cell r="J13">
            <v>1140</v>
          </cell>
        </row>
        <row r="14">
          <cell r="A14">
            <v>10</v>
          </cell>
          <cell r="B14" t="str">
            <v>ЭЦНМ5-20-2000</v>
          </cell>
          <cell r="C14">
            <v>20</v>
          </cell>
          <cell r="D14">
            <v>2000</v>
          </cell>
          <cell r="E14">
            <v>12</v>
          </cell>
          <cell r="F14">
            <v>2020</v>
          </cell>
          <cell r="G14">
            <v>20</v>
          </cell>
          <cell r="H14">
            <v>1836</v>
          </cell>
          <cell r="I14">
            <v>36</v>
          </cell>
          <cell r="J14">
            <v>1220</v>
          </cell>
        </row>
        <row r="15">
          <cell r="A15">
            <v>11</v>
          </cell>
          <cell r="B15" t="str">
            <v>ЭЦНМ5-50-990</v>
          </cell>
          <cell r="C15">
            <v>50</v>
          </cell>
          <cell r="D15">
            <v>990</v>
          </cell>
          <cell r="E15">
            <v>25</v>
          </cell>
          <cell r="F15">
            <v>1018</v>
          </cell>
          <cell r="G15">
            <v>50</v>
          </cell>
          <cell r="H15">
            <v>998</v>
          </cell>
          <cell r="I15">
            <v>72</v>
          </cell>
          <cell r="J15">
            <v>788</v>
          </cell>
        </row>
        <row r="16">
          <cell r="A16">
            <v>12</v>
          </cell>
          <cell r="B16" t="str">
            <v>ЭЦНМ5-50-1155</v>
          </cell>
          <cell r="C16">
            <v>50</v>
          </cell>
          <cell r="D16">
            <v>1155</v>
          </cell>
          <cell r="E16">
            <v>25</v>
          </cell>
          <cell r="F16">
            <v>1188</v>
          </cell>
          <cell r="G16">
            <v>50</v>
          </cell>
          <cell r="H16">
            <v>1165</v>
          </cell>
          <cell r="I16">
            <v>72</v>
          </cell>
          <cell r="J16">
            <v>918</v>
          </cell>
        </row>
        <row r="17">
          <cell r="A17">
            <v>13</v>
          </cell>
          <cell r="B17" t="str">
            <v>ЭЦНМ5-50-1360</v>
          </cell>
          <cell r="C17">
            <v>50</v>
          </cell>
          <cell r="D17">
            <v>1360</v>
          </cell>
          <cell r="E17">
            <v>25</v>
          </cell>
          <cell r="F17">
            <v>1400</v>
          </cell>
          <cell r="G17">
            <v>50</v>
          </cell>
          <cell r="H17">
            <v>1373</v>
          </cell>
          <cell r="I17">
            <v>72</v>
          </cell>
          <cell r="J17">
            <v>1082</v>
          </cell>
        </row>
        <row r="18">
          <cell r="A18">
            <v>14</v>
          </cell>
          <cell r="B18" t="str">
            <v>ЭЦНМ5-50-1565</v>
          </cell>
          <cell r="C18">
            <v>50</v>
          </cell>
          <cell r="D18">
            <v>1565</v>
          </cell>
          <cell r="E18">
            <v>25</v>
          </cell>
          <cell r="F18">
            <v>1611</v>
          </cell>
          <cell r="G18">
            <v>50</v>
          </cell>
          <cell r="H18">
            <v>1580</v>
          </cell>
          <cell r="I18">
            <v>72</v>
          </cell>
          <cell r="J18">
            <v>1246</v>
          </cell>
        </row>
        <row r="19">
          <cell r="A19">
            <v>15</v>
          </cell>
          <cell r="B19" t="str">
            <v>ЭЦНМ5-50-1775</v>
          </cell>
          <cell r="C19">
            <v>50</v>
          </cell>
          <cell r="D19">
            <v>1775</v>
          </cell>
          <cell r="E19">
            <v>25</v>
          </cell>
          <cell r="F19">
            <v>1823</v>
          </cell>
          <cell r="G19">
            <v>50</v>
          </cell>
          <cell r="H19">
            <v>1788</v>
          </cell>
          <cell r="I19">
            <v>72</v>
          </cell>
          <cell r="J19">
            <v>1410</v>
          </cell>
        </row>
        <row r="20">
          <cell r="A20">
            <v>16</v>
          </cell>
          <cell r="B20" t="str">
            <v>ЭЦНМ5-50-1980</v>
          </cell>
          <cell r="C20">
            <v>50</v>
          </cell>
          <cell r="D20">
            <v>1980</v>
          </cell>
          <cell r="E20">
            <v>25</v>
          </cell>
          <cell r="F20">
            <v>2035</v>
          </cell>
          <cell r="G20">
            <v>50</v>
          </cell>
          <cell r="H20">
            <v>1997</v>
          </cell>
          <cell r="I20">
            <v>72</v>
          </cell>
          <cell r="J20">
            <v>1574</v>
          </cell>
        </row>
        <row r="21">
          <cell r="A21">
            <v>17</v>
          </cell>
          <cell r="B21" t="str">
            <v>ЭЦНМ5-80-900</v>
          </cell>
          <cell r="C21">
            <v>80</v>
          </cell>
          <cell r="D21">
            <v>900</v>
          </cell>
          <cell r="E21">
            <v>60</v>
          </cell>
          <cell r="F21">
            <v>980</v>
          </cell>
          <cell r="G21">
            <v>80</v>
          </cell>
          <cell r="H21">
            <v>921</v>
          </cell>
          <cell r="I21">
            <v>116</v>
          </cell>
          <cell r="J21">
            <v>588</v>
          </cell>
        </row>
        <row r="22">
          <cell r="A22">
            <v>18</v>
          </cell>
          <cell r="B22" t="str">
            <v>ЭЦНМ5-80-1050</v>
          </cell>
          <cell r="C22">
            <v>80</v>
          </cell>
          <cell r="D22">
            <v>1050</v>
          </cell>
          <cell r="E22">
            <v>60</v>
          </cell>
          <cell r="F22">
            <v>1140</v>
          </cell>
          <cell r="G22">
            <v>80</v>
          </cell>
          <cell r="H22">
            <v>1072</v>
          </cell>
          <cell r="I22">
            <v>116</v>
          </cell>
          <cell r="J22">
            <v>684</v>
          </cell>
        </row>
        <row r="23">
          <cell r="A23">
            <v>19</v>
          </cell>
          <cell r="B23" t="str">
            <v>ЭЦНМ5-80-1235</v>
          </cell>
          <cell r="C23">
            <v>80</v>
          </cell>
          <cell r="D23">
            <v>1235</v>
          </cell>
          <cell r="E23">
            <v>60</v>
          </cell>
          <cell r="F23">
            <v>1345</v>
          </cell>
          <cell r="G23">
            <v>80</v>
          </cell>
          <cell r="H23">
            <v>1264</v>
          </cell>
          <cell r="I23">
            <v>116</v>
          </cell>
          <cell r="J23">
            <v>807</v>
          </cell>
        </row>
        <row r="24">
          <cell r="A24">
            <v>20</v>
          </cell>
          <cell r="B24" t="str">
            <v>ЭЦНМ5-80-1425</v>
          </cell>
          <cell r="C24">
            <v>80</v>
          </cell>
          <cell r="D24">
            <v>1425</v>
          </cell>
          <cell r="E24">
            <v>60</v>
          </cell>
          <cell r="F24">
            <v>1550</v>
          </cell>
          <cell r="G24">
            <v>80</v>
          </cell>
          <cell r="H24">
            <v>1457</v>
          </cell>
          <cell r="I24">
            <v>116</v>
          </cell>
          <cell r="J24">
            <v>930</v>
          </cell>
        </row>
        <row r="25">
          <cell r="A25">
            <v>21</v>
          </cell>
          <cell r="B25" t="str">
            <v>ЭЦНМ5-80-1615</v>
          </cell>
          <cell r="C25">
            <v>80</v>
          </cell>
          <cell r="D25">
            <v>1615</v>
          </cell>
          <cell r="E25">
            <v>60</v>
          </cell>
          <cell r="F25">
            <v>1755</v>
          </cell>
          <cell r="G25">
            <v>80</v>
          </cell>
          <cell r="H25">
            <v>1649</v>
          </cell>
          <cell r="I25">
            <v>116</v>
          </cell>
          <cell r="J25">
            <v>1053</v>
          </cell>
        </row>
        <row r="26">
          <cell r="A26">
            <v>22</v>
          </cell>
          <cell r="B26" t="str">
            <v>ЭЦНМ5-80-1800</v>
          </cell>
          <cell r="C26">
            <v>80</v>
          </cell>
          <cell r="D26">
            <v>1800</v>
          </cell>
          <cell r="E26">
            <v>60</v>
          </cell>
          <cell r="F26">
            <v>1960</v>
          </cell>
          <cell r="G26">
            <v>80</v>
          </cell>
          <cell r="H26">
            <v>1842</v>
          </cell>
          <cell r="I26">
            <v>116</v>
          </cell>
          <cell r="J26">
            <v>1176</v>
          </cell>
        </row>
        <row r="27">
          <cell r="A27">
            <v>23</v>
          </cell>
          <cell r="B27" t="str">
            <v>ЭЦНМ5-80-1950</v>
          </cell>
          <cell r="C27">
            <v>80</v>
          </cell>
          <cell r="D27">
            <v>1950</v>
          </cell>
          <cell r="E27">
            <v>60</v>
          </cell>
          <cell r="F27">
            <v>2120</v>
          </cell>
          <cell r="G27">
            <v>80</v>
          </cell>
          <cell r="H27">
            <v>1993</v>
          </cell>
          <cell r="I27">
            <v>116</v>
          </cell>
          <cell r="J27">
            <v>1272</v>
          </cell>
        </row>
        <row r="28">
          <cell r="A28">
            <v>24</v>
          </cell>
          <cell r="B28" t="str">
            <v>ЭЦНМ5-125-745</v>
          </cell>
          <cell r="C28">
            <v>125</v>
          </cell>
          <cell r="D28">
            <v>745</v>
          </cell>
          <cell r="E28">
            <v>103</v>
          </cell>
          <cell r="F28">
            <v>808</v>
          </cell>
          <cell r="G28">
            <v>125</v>
          </cell>
          <cell r="H28">
            <v>726</v>
          </cell>
          <cell r="I28">
            <v>160</v>
          </cell>
          <cell r="J28">
            <v>462</v>
          </cell>
        </row>
        <row r="29">
          <cell r="A29">
            <v>25</v>
          </cell>
          <cell r="B29" t="str">
            <v>ЭЦНМ5-125-865</v>
          </cell>
          <cell r="C29">
            <v>125</v>
          </cell>
          <cell r="D29">
            <v>865</v>
          </cell>
          <cell r="E29">
            <v>103</v>
          </cell>
          <cell r="F29">
            <v>941</v>
          </cell>
          <cell r="G29">
            <v>125</v>
          </cell>
          <cell r="H29">
            <v>845</v>
          </cell>
          <cell r="I29">
            <v>160</v>
          </cell>
          <cell r="J29">
            <v>534</v>
          </cell>
        </row>
        <row r="30">
          <cell r="A30">
            <v>26</v>
          </cell>
          <cell r="B30" t="str">
            <v>ЭЦНМ5-125-1020</v>
          </cell>
          <cell r="C30">
            <v>125</v>
          </cell>
          <cell r="D30">
            <v>1020</v>
          </cell>
          <cell r="E30">
            <v>103</v>
          </cell>
          <cell r="F30">
            <v>1112</v>
          </cell>
          <cell r="G30">
            <v>125</v>
          </cell>
          <cell r="H30">
            <v>999</v>
          </cell>
          <cell r="I30">
            <v>160</v>
          </cell>
          <cell r="J30">
            <v>634</v>
          </cell>
        </row>
        <row r="31">
          <cell r="A31">
            <v>27</v>
          </cell>
          <cell r="B31" t="str">
            <v>ЭЦНМ5-125-1180</v>
          </cell>
          <cell r="C31">
            <v>125</v>
          </cell>
          <cell r="D31">
            <v>1180</v>
          </cell>
          <cell r="E31">
            <v>103</v>
          </cell>
          <cell r="F31">
            <v>1284</v>
          </cell>
          <cell r="G31">
            <v>125</v>
          </cell>
          <cell r="H31">
            <v>1153</v>
          </cell>
          <cell r="I31">
            <v>160</v>
          </cell>
          <cell r="J31">
            <v>734</v>
          </cell>
        </row>
        <row r="32">
          <cell r="A32">
            <v>28</v>
          </cell>
          <cell r="B32" t="str">
            <v>ЭЦНМ5-125-1335</v>
          </cell>
          <cell r="C32">
            <v>125</v>
          </cell>
          <cell r="D32">
            <v>1335</v>
          </cell>
          <cell r="E32">
            <v>103</v>
          </cell>
          <cell r="F32">
            <v>1450</v>
          </cell>
          <cell r="G32">
            <v>125</v>
          </cell>
          <cell r="H32">
            <v>1302</v>
          </cell>
          <cell r="I32">
            <v>160</v>
          </cell>
          <cell r="J32">
            <v>829</v>
          </cell>
        </row>
        <row r="33">
          <cell r="A33">
            <v>29</v>
          </cell>
          <cell r="B33" t="str">
            <v>ЭЦНМ5-125-1485</v>
          </cell>
          <cell r="C33">
            <v>125</v>
          </cell>
          <cell r="D33">
            <v>1485</v>
          </cell>
          <cell r="E33">
            <v>103</v>
          </cell>
          <cell r="F33">
            <v>1617</v>
          </cell>
          <cell r="G33">
            <v>125</v>
          </cell>
          <cell r="H33">
            <v>1452</v>
          </cell>
          <cell r="I33">
            <v>160</v>
          </cell>
          <cell r="J33">
            <v>924</v>
          </cell>
        </row>
        <row r="34">
          <cell r="A34">
            <v>30</v>
          </cell>
          <cell r="B34" t="str">
            <v>ЭЦНМ5-125-1615</v>
          </cell>
          <cell r="C34">
            <v>125</v>
          </cell>
          <cell r="D34">
            <v>1615</v>
          </cell>
          <cell r="E34">
            <v>103</v>
          </cell>
          <cell r="F34">
            <v>1754</v>
          </cell>
          <cell r="G34">
            <v>125</v>
          </cell>
          <cell r="H34">
            <v>1575</v>
          </cell>
          <cell r="I34">
            <v>160</v>
          </cell>
          <cell r="J34">
            <v>1002</v>
          </cell>
        </row>
        <row r="35">
          <cell r="A35">
            <v>31</v>
          </cell>
          <cell r="B35" t="str">
            <v>ЭЦНМ5-125-1770</v>
          </cell>
          <cell r="C35">
            <v>125</v>
          </cell>
          <cell r="D35">
            <v>1770</v>
          </cell>
          <cell r="E35">
            <v>103</v>
          </cell>
          <cell r="F35">
            <v>1926</v>
          </cell>
          <cell r="G35">
            <v>125</v>
          </cell>
          <cell r="H35">
            <v>1729</v>
          </cell>
          <cell r="I35">
            <v>160</v>
          </cell>
          <cell r="J35">
            <v>1100</v>
          </cell>
        </row>
        <row r="36">
          <cell r="A36">
            <v>32</v>
          </cell>
          <cell r="B36" t="str">
            <v>ЭЦНМ5-125-2000</v>
          </cell>
          <cell r="C36">
            <v>125</v>
          </cell>
          <cell r="D36">
            <v>2000</v>
          </cell>
          <cell r="E36">
            <v>103</v>
          </cell>
          <cell r="F36">
            <v>2259</v>
          </cell>
          <cell r="G36">
            <v>125</v>
          </cell>
          <cell r="H36">
            <v>2028</v>
          </cell>
          <cell r="I36">
            <v>160</v>
          </cell>
          <cell r="J36">
            <v>1291</v>
          </cell>
        </row>
        <row r="37">
          <cell r="A37">
            <v>33</v>
          </cell>
          <cell r="B37" t="str">
            <v>ЭЦНМ5А-160-790</v>
          </cell>
          <cell r="C37">
            <v>160</v>
          </cell>
          <cell r="D37">
            <v>790</v>
          </cell>
          <cell r="E37">
            <v>125</v>
          </cell>
          <cell r="F37">
            <v>912</v>
          </cell>
          <cell r="G37">
            <v>160</v>
          </cell>
          <cell r="H37">
            <v>800</v>
          </cell>
          <cell r="I37">
            <v>212</v>
          </cell>
          <cell r="J37">
            <v>448</v>
          </cell>
        </row>
        <row r="38">
          <cell r="A38">
            <v>34</v>
          </cell>
          <cell r="B38" t="str">
            <v>ЭЦНМ5А-160-920</v>
          </cell>
          <cell r="C38">
            <v>160</v>
          </cell>
          <cell r="D38">
            <v>920</v>
          </cell>
          <cell r="E38">
            <v>125</v>
          </cell>
          <cell r="F38">
            <v>1060</v>
          </cell>
          <cell r="G38">
            <v>160</v>
          </cell>
          <cell r="H38">
            <v>930</v>
          </cell>
          <cell r="I38">
            <v>212</v>
          </cell>
          <cell r="J38">
            <v>521</v>
          </cell>
        </row>
        <row r="39">
          <cell r="A39">
            <v>35</v>
          </cell>
          <cell r="B39" t="str">
            <v>ЭЦНМ5А-160-1080</v>
          </cell>
          <cell r="C39">
            <v>160</v>
          </cell>
          <cell r="D39">
            <v>1080</v>
          </cell>
          <cell r="E39">
            <v>125</v>
          </cell>
          <cell r="F39">
            <v>1248</v>
          </cell>
          <cell r="G39">
            <v>160</v>
          </cell>
          <cell r="H39">
            <v>1095</v>
          </cell>
          <cell r="I39">
            <v>212</v>
          </cell>
          <cell r="J39">
            <v>613</v>
          </cell>
        </row>
        <row r="40">
          <cell r="A40">
            <v>36</v>
          </cell>
          <cell r="B40" t="str">
            <v>ЭЦНМ5А-160-1245</v>
          </cell>
          <cell r="C40">
            <v>160</v>
          </cell>
          <cell r="D40">
            <v>1245</v>
          </cell>
          <cell r="E40">
            <v>125</v>
          </cell>
          <cell r="F40">
            <v>1436</v>
          </cell>
          <cell r="G40">
            <v>160</v>
          </cell>
          <cell r="H40">
            <v>1260</v>
          </cell>
          <cell r="I40">
            <v>212</v>
          </cell>
          <cell r="J40">
            <v>706</v>
          </cell>
        </row>
        <row r="41">
          <cell r="A41">
            <v>37</v>
          </cell>
          <cell r="B41" t="str">
            <v>ЭЦНМ5А-160-1415</v>
          </cell>
          <cell r="C41">
            <v>160</v>
          </cell>
          <cell r="D41">
            <v>1415</v>
          </cell>
          <cell r="E41">
            <v>125</v>
          </cell>
          <cell r="F41">
            <v>1630</v>
          </cell>
          <cell r="G41">
            <v>160</v>
          </cell>
          <cell r="H41">
            <v>1430</v>
          </cell>
          <cell r="I41">
            <v>212</v>
          </cell>
          <cell r="J41">
            <v>801</v>
          </cell>
        </row>
        <row r="42">
          <cell r="A42">
            <v>38</v>
          </cell>
          <cell r="B42" t="str">
            <v>ЭЦНМ5А-160-1580</v>
          </cell>
          <cell r="C42">
            <v>160</v>
          </cell>
          <cell r="D42">
            <v>1580</v>
          </cell>
          <cell r="E42">
            <v>125</v>
          </cell>
          <cell r="F42">
            <v>1824</v>
          </cell>
          <cell r="G42">
            <v>160</v>
          </cell>
          <cell r="H42">
            <v>1600</v>
          </cell>
          <cell r="I42">
            <v>212</v>
          </cell>
          <cell r="J42">
            <v>896</v>
          </cell>
        </row>
        <row r="43">
          <cell r="A43">
            <v>39</v>
          </cell>
          <cell r="B43" t="str">
            <v>ЭЦНМ5А-160-1705</v>
          </cell>
          <cell r="C43">
            <v>160</v>
          </cell>
          <cell r="D43">
            <v>1705</v>
          </cell>
          <cell r="E43">
            <v>125</v>
          </cell>
          <cell r="F43">
            <v>1966</v>
          </cell>
          <cell r="G43">
            <v>160</v>
          </cell>
          <cell r="H43">
            <v>1725</v>
          </cell>
          <cell r="I43">
            <v>212</v>
          </cell>
          <cell r="J43">
            <v>966</v>
          </cell>
        </row>
        <row r="44">
          <cell r="A44">
            <v>40</v>
          </cell>
          <cell r="B44" t="str">
            <v>ЭЦНМ5А-160-2000</v>
          </cell>
          <cell r="C44">
            <v>160</v>
          </cell>
          <cell r="D44">
            <v>2000</v>
          </cell>
          <cell r="E44">
            <v>125</v>
          </cell>
          <cell r="F44">
            <v>2348</v>
          </cell>
          <cell r="G44">
            <v>160</v>
          </cell>
          <cell r="H44">
            <v>2060</v>
          </cell>
          <cell r="I44">
            <v>212</v>
          </cell>
          <cell r="J44">
            <v>1154</v>
          </cell>
        </row>
        <row r="45">
          <cell r="A45">
            <v>41</v>
          </cell>
          <cell r="B45" t="str">
            <v>ЭЦНМ5-200-640</v>
          </cell>
          <cell r="C45">
            <v>200</v>
          </cell>
          <cell r="D45">
            <v>640</v>
          </cell>
          <cell r="E45">
            <v>150</v>
          </cell>
          <cell r="F45">
            <v>774</v>
          </cell>
          <cell r="G45">
            <v>200</v>
          </cell>
          <cell r="H45">
            <v>665</v>
          </cell>
          <cell r="I45">
            <v>270</v>
          </cell>
          <cell r="J45">
            <v>396</v>
          </cell>
        </row>
        <row r="46">
          <cell r="A46">
            <v>42</v>
          </cell>
          <cell r="B46" t="str">
            <v>ЭЦНМ5-200-740</v>
          </cell>
          <cell r="C46">
            <v>200</v>
          </cell>
          <cell r="D46">
            <v>740</v>
          </cell>
          <cell r="E46">
            <v>150</v>
          </cell>
          <cell r="F46">
            <v>894</v>
          </cell>
          <cell r="G46">
            <v>200</v>
          </cell>
          <cell r="H46">
            <v>770</v>
          </cell>
          <cell r="I46">
            <v>270</v>
          </cell>
          <cell r="J46">
            <v>458</v>
          </cell>
        </row>
        <row r="47">
          <cell r="A47">
            <v>43</v>
          </cell>
          <cell r="B47" t="str">
            <v>ЭЦНМ5-200-830</v>
          </cell>
          <cell r="C47">
            <v>200</v>
          </cell>
          <cell r="D47">
            <v>830</v>
          </cell>
          <cell r="E47">
            <v>150</v>
          </cell>
          <cell r="F47">
            <v>1010</v>
          </cell>
          <cell r="G47">
            <v>200</v>
          </cell>
          <cell r="H47">
            <v>869</v>
          </cell>
          <cell r="I47">
            <v>270</v>
          </cell>
          <cell r="J47">
            <v>517</v>
          </cell>
        </row>
        <row r="48">
          <cell r="A48">
            <v>44</v>
          </cell>
          <cell r="B48" t="str">
            <v>ЭЦНМ5-200-930</v>
          </cell>
          <cell r="C48">
            <v>200</v>
          </cell>
          <cell r="D48">
            <v>930</v>
          </cell>
          <cell r="E48">
            <v>150</v>
          </cell>
          <cell r="F48">
            <v>1126</v>
          </cell>
          <cell r="G48">
            <v>200</v>
          </cell>
          <cell r="H48">
            <v>969</v>
          </cell>
          <cell r="I48">
            <v>270</v>
          </cell>
          <cell r="J48">
            <v>576</v>
          </cell>
        </row>
        <row r="49">
          <cell r="A49">
            <v>45</v>
          </cell>
          <cell r="B49" t="str">
            <v>ЭЦНМ5-200-1005</v>
          </cell>
          <cell r="C49">
            <v>200</v>
          </cell>
          <cell r="D49">
            <v>1005</v>
          </cell>
          <cell r="E49">
            <v>150</v>
          </cell>
          <cell r="F49">
            <v>1221</v>
          </cell>
          <cell r="G49">
            <v>200</v>
          </cell>
          <cell r="H49">
            <v>1050</v>
          </cell>
          <cell r="I49">
            <v>270</v>
          </cell>
          <cell r="J49">
            <v>624</v>
          </cell>
        </row>
        <row r="50">
          <cell r="A50">
            <v>46</v>
          </cell>
          <cell r="B50" t="str">
            <v>ЭЦНМ5-200-1105</v>
          </cell>
          <cell r="C50">
            <v>200</v>
          </cell>
          <cell r="D50">
            <v>1105</v>
          </cell>
          <cell r="E50">
            <v>150</v>
          </cell>
          <cell r="F50">
            <v>1341</v>
          </cell>
          <cell r="G50">
            <v>200</v>
          </cell>
          <cell r="H50">
            <v>1154</v>
          </cell>
          <cell r="I50">
            <v>270</v>
          </cell>
          <cell r="J50">
            <v>686</v>
          </cell>
        </row>
        <row r="51">
          <cell r="A51">
            <v>47</v>
          </cell>
          <cell r="B51" t="str">
            <v>ЭЦНМ5-200-1200</v>
          </cell>
          <cell r="C51">
            <v>200</v>
          </cell>
          <cell r="D51">
            <v>1200</v>
          </cell>
          <cell r="E51">
            <v>150</v>
          </cell>
          <cell r="F51">
            <v>1457</v>
          </cell>
          <cell r="G51">
            <v>200</v>
          </cell>
          <cell r="H51">
            <v>1254</v>
          </cell>
          <cell r="I51">
            <v>270</v>
          </cell>
          <cell r="J51">
            <v>745</v>
          </cell>
        </row>
        <row r="52">
          <cell r="A52">
            <v>48</v>
          </cell>
          <cell r="B52" t="str">
            <v>ЭЦНМ5-200-1300</v>
          </cell>
          <cell r="C52">
            <v>200</v>
          </cell>
          <cell r="D52">
            <v>1300</v>
          </cell>
          <cell r="E52">
            <v>150</v>
          </cell>
          <cell r="F52">
            <v>1444</v>
          </cell>
          <cell r="G52">
            <v>200</v>
          </cell>
          <cell r="H52">
            <v>1243</v>
          </cell>
          <cell r="I52">
            <v>270</v>
          </cell>
          <cell r="J52">
            <v>739</v>
          </cell>
        </row>
        <row r="53">
          <cell r="A53">
            <v>49</v>
          </cell>
          <cell r="B53" t="str">
            <v>ЭЦНМ5-200-1395</v>
          </cell>
          <cell r="C53">
            <v>200</v>
          </cell>
          <cell r="D53">
            <v>1395</v>
          </cell>
          <cell r="E53">
            <v>150</v>
          </cell>
          <cell r="F53">
            <v>1689</v>
          </cell>
          <cell r="G53">
            <v>200</v>
          </cell>
          <cell r="H53">
            <v>1454</v>
          </cell>
          <cell r="I53">
            <v>270</v>
          </cell>
          <cell r="J53">
            <v>864</v>
          </cell>
        </row>
        <row r="54">
          <cell r="A54">
            <v>50</v>
          </cell>
          <cell r="B54" t="str">
            <v>ЭЦНМ5А-250-795</v>
          </cell>
          <cell r="C54">
            <v>250</v>
          </cell>
          <cell r="D54">
            <v>795</v>
          </cell>
          <cell r="E54">
            <v>190</v>
          </cell>
          <cell r="F54">
            <v>905</v>
          </cell>
          <cell r="G54">
            <v>250</v>
          </cell>
          <cell r="H54">
            <v>817</v>
          </cell>
          <cell r="I54">
            <v>345</v>
          </cell>
          <cell r="J54">
            <v>474</v>
          </cell>
        </row>
        <row r="55">
          <cell r="A55">
            <v>51</v>
          </cell>
          <cell r="B55" t="str">
            <v>ЭЦНМ5А-250-900</v>
          </cell>
          <cell r="C55">
            <v>250</v>
          </cell>
          <cell r="D55">
            <v>900</v>
          </cell>
          <cell r="E55">
            <v>190</v>
          </cell>
          <cell r="F55">
            <v>1023</v>
          </cell>
          <cell r="G55">
            <v>250</v>
          </cell>
          <cell r="H55">
            <v>924</v>
          </cell>
          <cell r="I55">
            <v>345</v>
          </cell>
          <cell r="J55">
            <v>536</v>
          </cell>
        </row>
        <row r="56">
          <cell r="A56">
            <v>52</v>
          </cell>
          <cell r="B56" t="str">
            <v>ЭЦНМ5А-250-1000</v>
          </cell>
          <cell r="C56">
            <v>250</v>
          </cell>
          <cell r="D56">
            <v>1000</v>
          </cell>
          <cell r="E56">
            <v>190</v>
          </cell>
          <cell r="F56">
            <v>1140</v>
          </cell>
          <cell r="G56">
            <v>250</v>
          </cell>
          <cell r="H56">
            <v>1030</v>
          </cell>
          <cell r="I56">
            <v>345</v>
          </cell>
          <cell r="J56">
            <v>598</v>
          </cell>
        </row>
        <row r="57">
          <cell r="A57">
            <v>53</v>
          </cell>
          <cell r="B57" t="str">
            <v>ЭЦНМ5А-250-1090</v>
          </cell>
          <cell r="C57">
            <v>250</v>
          </cell>
          <cell r="D57">
            <v>1090</v>
          </cell>
          <cell r="E57">
            <v>190</v>
          </cell>
          <cell r="F57">
            <v>1240</v>
          </cell>
          <cell r="G57">
            <v>250</v>
          </cell>
          <cell r="H57">
            <v>1120</v>
          </cell>
          <cell r="I57">
            <v>345</v>
          </cell>
          <cell r="J57">
            <v>650</v>
          </cell>
        </row>
        <row r="58">
          <cell r="A58">
            <v>54</v>
          </cell>
          <cell r="B58" t="str">
            <v>ЭЦНМ5А-250-1190</v>
          </cell>
          <cell r="C58">
            <v>250</v>
          </cell>
          <cell r="D58">
            <v>1190</v>
          </cell>
          <cell r="E58">
            <v>190</v>
          </cell>
          <cell r="F58">
            <v>1357</v>
          </cell>
          <cell r="G58">
            <v>250</v>
          </cell>
          <cell r="H58">
            <v>1226</v>
          </cell>
          <cell r="I58">
            <v>345</v>
          </cell>
          <cell r="J58">
            <v>711</v>
          </cell>
        </row>
        <row r="59">
          <cell r="A59">
            <v>55</v>
          </cell>
          <cell r="B59" t="str">
            <v>ЭЦНМ5А-250-1295</v>
          </cell>
          <cell r="C59">
            <v>250</v>
          </cell>
          <cell r="D59">
            <v>1295</v>
          </cell>
          <cell r="E59">
            <v>190</v>
          </cell>
          <cell r="F59">
            <v>1475</v>
          </cell>
          <cell r="G59">
            <v>250</v>
          </cell>
          <cell r="H59">
            <v>1332</v>
          </cell>
          <cell r="I59">
            <v>345</v>
          </cell>
          <cell r="J59">
            <v>773</v>
          </cell>
        </row>
        <row r="60">
          <cell r="A60">
            <v>56</v>
          </cell>
          <cell r="B60" t="str">
            <v>ЭЦНМ5А-250-1400</v>
          </cell>
          <cell r="C60">
            <v>250</v>
          </cell>
          <cell r="D60">
            <v>1400</v>
          </cell>
          <cell r="E60">
            <v>190</v>
          </cell>
          <cell r="F60">
            <v>1593</v>
          </cell>
          <cell r="G60">
            <v>250</v>
          </cell>
          <cell r="H60">
            <v>1439</v>
          </cell>
          <cell r="I60">
            <v>345</v>
          </cell>
          <cell r="J60">
            <v>835</v>
          </cell>
        </row>
        <row r="61">
          <cell r="A61">
            <v>57</v>
          </cell>
          <cell r="B61" t="str">
            <v>ЭЦНМ5А-250-1500</v>
          </cell>
          <cell r="C61">
            <v>250</v>
          </cell>
          <cell r="D61">
            <v>1500</v>
          </cell>
          <cell r="E61">
            <v>190</v>
          </cell>
          <cell r="F61">
            <v>1711</v>
          </cell>
          <cell r="G61">
            <v>250</v>
          </cell>
          <cell r="H61">
            <v>1545</v>
          </cell>
          <cell r="I61">
            <v>345</v>
          </cell>
          <cell r="J61">
            <v>897</v>
          </cell>
        </row>
        <row r="62">
          <cell r="A62">
            <v>58</v>
          </cell>
          <cell r="B62" t="str">
            <v>ЭЦНМ5А-250-1590</v>
          </cell>
          <cell r="C62">
            <v>250</v>
          </cell>
          <cell r="D62">
            <v>1590</v>
          </cell>
          <cell r="E62">
            <v>190</v>
          </cell>
          <cell r="F62">
            <v>1810</v>
          </cell>
          <cell r="G62">
            <v>250</v>
          </cell>
          <cell r="H62">
            <v>1635</v>
          </cell>
          <cell r="I62">
            <v>345</v>
          </cell>
          <cell r="J62">
            <v>949</v>
          </cell>
        </row>
        <row r="63">
          <cell r="A63">
            <v>59</v>
          </cell>
          <cell r="B63" t="str">
            <v>ЭЦНМ5А-250-1695</v>
          </cell>
          <cell r="C63">
            <v>250</v>
          </cell>
          <cell r="D63">
            <v>1695</v>
          </cell>
          <cell r="E63">
            <v>190</v>
          </cell>
          <cell r="F63">
            <v>1928</v>
          </cell>
          <cell r="G63">
            <v>250</v>
          </cell>
          <cell r="H63">
            <v>1741</v>
          </cell>
          <cell r="I63">
            <v>345</v>
          </cell>
          <cell r="J63">
            <v>1010</v>
          </cell>
        </row>
        <row r="64">
          <cell r="A64">
            <v>60</v>
          </cell>
          <cell r="B64" t="str">
            <v>ЭЦНМ5А-250-1800</v>
          </cell>
          <cell r="C64">
            <v>250</v>
          </cell>
          <cell r="D64">
            <v>1800</v>
          </cell>
          <cell r="E64">
            <v>190</v>
          </cell>
          <cell r="F64">
            <v>2046</v>
          </cell>
          <cell r="G64">
            <v>250</v>
          </cell>
          <cell r="H64">
            <v>1848</v>
          </cell>
          <cell r="I64">
            <v>345</v>
          </cell>
          <cell r="J64">
            <v>1072</v>
          </cell>
        </row>
        <row r="65">
          <cell r="A65">
            <v>61</v>
          </cell>
          <cell r="B65" t="str">
            <v>ЭЦНМ5А-250-2000</v>
          </cell>
          <cell r="C65">
            <v>250</v>
          </cell>
          <cell r="D65">
            <v>2000</v>
          </cell>
          <cell r="E65">
            <v>190</v>
          </cell>
          <cell r="F65">
            <v>2281</v>
          </cell>
          <cell r="G65">
            <v>250</v>
          </cell>
          <cell r="H65">
            <v>2060</v>
          </cell>
          <cell r="I65">
            <v>345</v>
          </cell>
          <cell r="J65">
            <v>1196</v>
          </cell>
        </row>
        <row r="66">
          <cell r="A66">
            <v>62</v>
          </cell>
          <cell r="B66" t="str">
            <v>ЭЦНМ5А-400-555</v>
          </cell>
          <cell r="C66">
            <v>400</v>
          </cell>
          <cell r="D66">
            <v>555</v>
          </cell>
          <cell r="E66">
            <v>300</v>
          </cell>
          <cell r="F66">
            <v>748</v>
          </cell>
          <cell r="G66">
            <v>400</v>
          </cell>
          <cell r="H66">
            <v>612</v>
          </cell>
          <cell r="I66">
            <v>440</v>
          </cell>
          <cell r="J66">
            <v>544</v>
          </cell>
        </row>
        <row r="67">
          <cell r="A67">
            <v>63</v>
          </cell>
          <cell r="B67" t="str">
            <v>ЭЦНМ5А-400-630</v>
          </cell>
          <cell r="C67">
            <v>400</v>
          </cell>
          <cell r="D67">
            <v>630</v>
          </cell>
          <cell r="E67">
            <v>300</v>
          </cell>
          <cell r="F67">
            <v>847</v>
          </cell>
          <cell r="G67">
            <v>400</v>
          </cell>
          <cell r="H67">
            <v>693</v>
          </cell>
          <cell r="I67">
            <v>440</v>
          </cell>
          <cell r="J67">
            <v>616</v>
          </cell>
        </row>
        <row r="68">
          <cell r="A68">
            <v>64</v>
          </cell>
          <cell r="B68" t="str">
            <v>ЭЦНМ5А-400-700</v>
          </cell>
          <cell r="C68">
            <v>400</v>
          </cell>
          <cell r="D68">
            <v>700</v>
          </cell>
          <cell r="E68">
            <v>300</v>
          </cell>
          <cell r="F68">
            <v>946</v>
          </cell>
          <cell r="G68">
            <v>400</v>
          </cell>
          <cell r="H68">
            <v>774</v>
          </cell>
          <cell r="I68">
            <v>440</v>
          </cell>
          <cell r="J68">
            <v>688</v>
          </cell>
        </row>
        <row r="69">
          <cell r="A69">
            <v>65</v>
          </cell>
          <cell r="B69" t="str">
            <v>ЭЦНМ5А-400-760</v>
          </cell>
          <cell r="C69">
            <v>400</v>
          </cell>
          <cell r="D69">
            <v>760</v>
          </cell>
          <cell r="E69">
            <v>300</v>
          </cell>
          <cell r="F69">
            <v>1023</v>
          </cell>
          <cell r="G69">
            <v>400</v>
          </cell>
          <cell r="H69">
            <v>837</v>
          </cell>
          <cell r="I69">
            <v>440</v>
          </cell>
          <cell r="J69">
            <v>744</v>
          </cell>
        </row>
        <row r="70">
          <cell r="A70">
            <v>66</v>
          </cell>
          <cell r="B70" t="str">
            <v>ЭЦНМ5А-400-830</v>
          </cell>
          <cell r="C70">
            <v>400</v>
          </cell>
          <cell r="D70">
            <v>830</v>
          </cell>
          <cell r="E70">
            <v>300</v>
          </cell>
          <cell r="F70">
            <v>1122</v>
          </cell>
          <cell r="G70">
            <v>400</v>
          </cell>
          <cell r="H70">
            <v>918</v>
          </cell>
          <cell r="I70">
            <v>440</v>
          </cell>
          <cell r="J70">
            <v>816</v>
          </cell>
        </row>
        <row r="71">
          <cell r="A71">
            <v>67</v>
          </cell>
          <cell r="B71" t="str">
            <v>ЭЦНМ5А-400-905</v>
          </cell>
          <cell r="C71">
            <v>400</v>
          </cell>
          <cell r="D71">
            <v>905</v>
          </cell>
          <cell r="E71">
            <v>300</v>
          </cell>
          <cell r="F71">
            <v>1221</v>
          </cell>
          <cell r="G71">
            <v>400</v>
          </cell>
          <cell r="H71">
            <v>999</v>
          </cell>
          <cell r="I71">
            <v>440</v>
          </cell>
          <cell r="J71">
            <v>888</v>
          </cell>
        </row>
        <row r="72">
          <cell r="A72">
            <v>68</v>
          </cell>
          <cell r="B72" t="str">
            <v>ЭЦНМ5А-400-980</v>
          </cell>
          <cell r="C72">
            <v>400</v>
          </cell>
          <cell r="D72">
            <v>980</v>
          </cell>
          <cell r="E72">
            <v>300</v>
          </cell>
          <cell r="F72">
            <v>1320</v>
          </cell>
          <cell r="G72">
            <v>400</v>
          </cell>
          <cell r="H72">
            <v>1080</v>
          </cell>
          <cell r="I72">
            <v>440</v>
          </cell>
          <cell r="J72">
            <v>960</v>
          </cell>
        </row>
        <row r="73">
          <cell r="A73">
            <v>69</v>
          </cell>
          <cell r="B73" t="str">
            <v>ЭЦНМ5А-400-1050</v>
          </cell>
          <cell r="C73">
            <v>400</v>
          </cell>
          <cell r="D73">
            <v>1050</v>
          </cell>
          <cell r="E73">
            <v>300</v>
          </cell>
          <cell r="F73">
            <v>1419</v>
          </cell>
          <cell r="G73">
            <v>400</v>
          </cell>
          <cell r="H73">
            <v>1161</v>
          </cell>
          <cell r="I73">
            <v>440</v>
          </cell>
          <cell r="J73">
            <v>1032</v>
          </cell>
        </row>
        <row r="74">
          <cell r="A74">
            <v>70</v>
          </cell>
          <cell r="B74" t="str">
            <v>ЭЦНМ5А-400-1110</v>
          </cell>
          <cell r="C74">
            <v>400</v>
          </cell>
          <cell r="D74">
            <v>1110</v>
          </cell>
          <cell r="E74">
            <v>300</v>
          </cell>
          <cell r="F74">
            <v>1496</v>
          </cell>
          <cell r="G74">
            <v>400</v>
          </cell>
          <cell r="H74">
            <v>1224</v>
          </cell>
          <cell r="I74">
            <v>440</v>
          </cell>
          <cell r="J74">
            <v>1088</v>
          </cell>
        </row>
        <row r="75">
          <cell r="A75">
            <v>71</v>
          </cell>
          <cell r="B75" t="str">
            <v>ЭЦНМ5А-400-1180</v>
          </cell>
          <cell r="C75">
            <v>400</v>
          </cell>
          <cell r="D75">
            <v>1180</v>
          </cell>
          <cell r="E75">
            <v>300</v>
          </cell>
          <cell r="F75">
            <v>1595</v>
          </cell>
          <cell r="G75">
            <v>400</v>
          </cell>
          <cell r="H75">
            <v>1305</v>
          </cell>
          <cell r="I75">
            <v>440</v>
          </cell>
          <cell r="J75">
            <v>1160</v>
          </cell>
        </row>
        <row r="76">
          <cell r="A76">
            <v>72</v>
          </cell>
          <cell r="B76" t="str">
            <v>ЭЦНМ5А-400-1255</v>
          </cell>
          <cell r="C76">
            <v>400</v>
          </cell>
          <cell r="D76">
            <v>1255</v>
          </cell>
          <cell r="E76">
            <v>300</v>
          </cell>
          <cell r="F76">
            <v>1694</v>
          </cell>
          <cell r="G76">
            <v>400</v>
          </cell>
          <cell r="H76">
            <v>1386</v>
          </cell>
          <cell r="I76">
            <v>440</v>
          </cell>
          <cell r="J76">
            <v>1232</v>
          </cell>
        </row>
        <row r="77">
          <cell r="A77">
            <v>73</v>
          </cell>
          <cell r="B77" t="str">
            <v>ЭЦНМ5А-400-1600</v>
          </cell>
          <cell r="C77">
            <v>400</v>
          </cell>
          <cell r="D77">
            <v>1600</v>
          </cell>
          <cell r="E77">
            <v>300</v>
          </cell>
          <cell r="F77">
            <v>2167</v>
          </cell>
          <cell r="G77">
            <v>400</v>
          </cell>
          <cell r="H77">
            <v>1773</v>
          </cell>
          <cell r="I77">
            <v>440</v>
          </cell>
          <cell r="J77">
            <v>1576</v>
          </cell>
        </row>
        <row r="78">
          <cell r="A78">
            <v>74</v>
          </cell>
          <cell r="B78" t="str">
            <v>REDA DN280</v>
          </cell>
          <cell r="C78">
            <v>60</v>
          </cell>
          <cell r="D78">
            <v>1100</v>
          </cell>
          <cell r="E78">
            <v>40</v>
          </cell>
          <cell r="F78">
            <v>1585</v>
          </cell>
          <cell r="G78">
            <v>60</v>
          </cell>
          <cell r="H78">
            <v>1087</v>
          </cell>
          <cell r="I78">
            <v>70</v>
          </cell>
          <cell r="J78">
            <v>725</v>
          </cell>
        </row>
        <row r="79">
          <cell r="A79">
            <v>75</v>
          </cell>
          <cell r="B79" t="str">
            <v>REDA DN440</v>
          </cell>
          <cell r="C79">
            <v>60</v>
          </cell>
          <cell r="D79">
            <v>1800</v>
          </cell>
          <cell r="E79">
            <v>20</v>
          </cell>
          <cell r="F79">
            <v>2025</v>
          </cell>
          <cell r="G79">
            <v>40</v>
          </cell>
          <cell r="H79">
            <v>1800</v>
          </cell>
          <cell r="I79">
            <v>70</v>
          </cell>
          <cell r="J79">
            <v>950</v>
          </cell>
        </row>
        <row r="80">
          <cell r="A80">
            <v>76</v>
          </cell>
          <cell r="B80" t="str">
            <v>REDA DN625</v>
          </cell>
          <cell r="C80">
            <v>110</v>
          </cell>
          <cell r="D80">
            <v>1400</v>
          </cell>
          <cell r="E80">
            <v>90</v>
          </cell>
          <cell r="F80">
            <v>1995</v>
          </cell>
          <cell r="G80">
            <v>110</v>
          </cell>
          <cell r="H80">
            <v>1436</v>
          </cell>
          <cell r="I80">
            <v>120</v>
          </cell>
          <cell r="J80">
            <v>1037</v>
          </cell>
        </row>
        <row r="81">
          <cell r="A81">
            <v>77</v>
          </cell>
          <cell r="B81" t="str">
            <v>REDA DN800</v>
          </cell>
          <cell r="C81">
            <v>133</v>
          </cell>
          <cell r="D81">
            <v>1000</v>
          </cell>
          <cell r="E81">
            <v>100</v>
          </cell>
          <cell r="F81">
            <v>1705</v>
          </cell>
          <cell r="G81">
            <v>133</v>
          </cell>
          <cell r="H81">
            <v>1023</v>
          </cell>
          <cell r="I81">
            <v>140</v>
          </cell>
          <cell r="J81">
            <v>818</v>
          </cell>
        </row>
        <row r="82">
          <cell r="A82">
            <v>78</v>
          </cell>
          <cell r="B82" t="str">
            <v>REDA DN1000</v>
          </cell>
          <cell r="C82">
            <v>166</v>
          </cell>
          <cell r="D82">
            <v>1000</v>
          </cell>
          <cell r="E82">
            <v>120</v>
          </cell>
          <cell r="F82">
            <v>1965</v>
          </cell>
          <cell r="G82">
            <v>166</v>
          </cell>
          <cell r="H82">
            <v>1022</v>
          </cell>
          <cell r="I82">
            <v>140</v>
          </cell>
          <cell r="J82">
            <v>629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СКО"/>
      <sheetName val="задание"/>
      <sheetName val="Лист по глушению "/>
      <sheetName val="#ССЫЛКА"/>
      <sheetName val="Лист1"/>
      <sheetName val="План"/>
      <sheetName val="119 "/>
      <sheetName val="Глушение "/>
      <sheetName val="Прил №2. П-З, П-Р ТРС  "/>
      <sheetName val="лист глушения"/>
      <sheetName val="Расчет НКТ"/>
      <sheetName val="Карта спуска УЭЦН"/>
      <sheetName val="Меропр. отчет"/>
      <sheetName val="ППД отчет"/>
      <sheetName val="Факт. сетевой график"/>
      <sheetName val="Расчет"/>
      <sheetName val="Сетевой график план"/>
      <sheetName val="Меропр. план"/>
      <sheetName val="ППД план"/>
      <sheetName val="Мониторинг потерь"/>
      <sheetName val="Баланс"/>
      <sheetName val="Сниж ЭФ факт"/>
      <sheetName val="Лист глушения "/>
      <sheetName val="ПГРП1"/>
      <sheetName val="ПГРП2"/>
      <sheetName val="ГНКТ"/>
      <sheetName val="ВНС"/>
      <sheetName val="План-Заказ"/>
      <sheetName val="НКТ"/>
      <sheetName val="СПО"/>
      <sheetName val="Инв.№"/>
      <sheetName val="Лист2"/>
      <sheetName val="Лист3"/>
      <sheetName val="Лист_по_глушению_"/>
      <sheetName val="119_"/>
      <sheetName val="Глушение_"/>
      <sheetName val="Прил_№2__П-З,_П-Р_ТРС__"/>
      <sheetName val="лист_глушения"/>
      <sheetName val="Расчет_НКТ"/>
      <sheetName val="Карта_спуска_УЭЦН"/>
      <sheetName val="Меропр__отчет"/>
      <sheetName val="ППД_отчет"/>
      <sheetName val="Факт__сетевой_график"/>
      <sheetName val="Сетевой_график_план"/>
      <sheetName val="Меропр__план"/>
      <sheetName val="ППД_план"/>
      <sheetName val="Мониторинг_потерь"/>
      <sheetName val="Сниж_ЭФ_факт"/>
      <sheetName val="Справочник ЭЦН"/>
      <sheetName val="Справочник по пластам"/>
      <sheetName val="Scenar"/>
      <sheetName val="Обучение персонала_2010"/>
      <sheetName val="ПРС"/>
      <sheetName val="КРС"/>
      <sheetName val="19.06"/>
      <sheetName val="глушение"/>
      <sheetName val="18.12.04"/>
      <sheetName val="8.02.05"/>
      <sheetName val="3.06.05"/>
      <sheetName val="20.05.10"/>
      <sheetName val="Глушение  20.05.10"/>
      <sheetName val="СПО 2008"/>
      <sheetName val="Напряжения в НКТ"/>
      <sheetName val="Напряжения в НКТ (2)"/>
      <sheetName val="23.12.10"/>
      <sheetName val="Глушение 23.12.2010"/>
      <sheetName val="03.09.12"/>
      <sheetName val="Глушение 03.09.12"/>
      <sheetName val="18.08.13"/>
      <sheetName val="Глушение 18.08.13"/>
      <sheetName val="СПО 10"/>
      <sheetName val="НКТ."/>
      <sheetName val="22.11.2013"/>
      <sheetName val="Глушение 22.11.2013"/>
      <sheetName val="СПО 10 (2)"/>
      <sheetName val="Напряжение"/>
      <sheetName val="запуски"/>
      <sheetName val="остановки"/>
      <sheetName val="поставка ПНГ"/>
      <sheetName val="ПЛАН РАБОТ"/>
      <sheetName val="10.06.2014"/>
      <sheetName val="17.06.14"/>
      <sheetName val="Раскустовка"/>
      <sheetName val="Инклинометрия"/>
    </sheetNames>
    <sheetDataSet>
      <sheetData sheetId="0" refreshError="1"/>
      <sheetData sheetId="1" refreshError="1">
        <row r="50">
          <cell r="M50">
            <v>0.2</v>
          </cell>
        </row>
        <row r="82">
          <cell r="E82" t="str">
            <v>Мамонтовское</v>
          </cell>
        </row>
        <row r="83">
          <cell r="E83" t="str">
            <v>3Е</v>
          </cell>
        </row>
        <row r="85">
          <cell r="E85">
            <v>125</v>
          </cell>
        </row>
        <row r="91">
          <cell r="D91">
            <v>3</v>
          </cell>
          <cell r="M91">
            <v>2567</v>
          </cell>
        </row>
        <row r="92">
          <cell r="D92">
            <v>6</v>
          </cell>
          <cell r="M92">
            <v>2461</v>
          </cell>
        </row>
        <row r="93">
          <cell r="M93">
            <v>2469</v>
          </cell>
        </row>
        <row r="94">
          <cell r="M94">
            <v>2469</v>
          </cell>
        </row>
        <row r="95">
          <cell r="M95">
            <v>73</v>
          </cell>
        </row>
        <row r="96">
          <cell r="M96">
            <v>62</v>
          </cell>
        </row>
        <row r="97">
          <cell r="M97">
            <v>1000</v>
          </cell>
        </row>
        <row r="98">
          <cell r="M98">
            <v>60</v>
          </cell>
        </row>
        <row r="99">
          <cell r="M99">
            <v>50</v>
          </cell>
        </row>
        <row r="100">
          <cell r="M100">
            <v>1469</v>
          </cell>
        </row>
        <row r="101">
          <cell r="M101">
            <v>131</v>
          </cell>
        </row>
        <row r="102">
          <cell r="M102">
            <v>1.5</v>
          </cell>
        </row>
        <row r="103">
          <cell r="M103">
            <v>10.3</v>
          </cell>
        </row>
        <row r="104">
          <cell r="M104">
            <v>21.5</v>
          </cell>
        </row>
        <row r="105">
          <cell r="M105">
            <v>8</v>
          </cell>
        </row>
        <row r="106">
          <cell r="M106">
            <v>2.4354411648791476</v>
          </cell>
        </row>
        <row r="107">
          <cell r="M107">
            <v>5.9034452951769207</v>
          </cell>
        </row>
        <row r="108">
          <cell r="M108">
            <v>13.478217882063609</v>
          </cell>
        </row>
        <row r="109">
          <cell r="M109">
            <v>24.938833490758984</v>
          </cell>
        </row>
        <row r="110">
          <cell r="M110">
            <v>3.913344523898211</v>
          </cell>
        </row>
        <row r="111">
          <cell r="M111">
            <v>0.21276436246436875</v>
          </cell>
        </row>
        <row r="112">
          <cell r="M112">
            <v>0.4255287249287375</v>
          </cell>
        </row>
        <row r="113">
          <cell r="M113">
            <v>1.9609618660310484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50">
          <cell r="M50">
            <v>0.2</v>
          </cell>
        </row>
      </sheetData>
      <sheetData sheetId="9" refreshError="1"/>
      <sheetData sheetId="10" refreshError="1"/>
      <sheetData sheetId="11">
        <row r="50">
          <cell r="M50">
            <v>0.2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тановки"/>
      <sheetName val="Запуски"/>
      <sheetName val="БАЛАНС"/>
      <sheetName val="СБ"/>
      <sheetName val="Мск"/>
      <sheetName val="вывода"/>
      <sheetName val="потери"/>
      <sheetName val="Месяц"/>
      <sheetName val="Сутки"/>
      <sheetName val="СВОДКА БРИГАД ПКРС"/>
      <sheetName val="Селектор"/>
      <sheetName val="Декабрь2"/>
      <sheetName val="Декабрь1"/>
      <sheetName val="НП-6"/>
      <sheetName val="График "/>
      <sheetName val="ГИ"/>
      <sheetName val="График А4"/>
      <sheetName val="Жидкости"/>
      <sheetName val="График жид."/>
      <sheetName val="EKDEB90"/>
      <sheetName val="СУТТ"/>
      <sheetName val="СВОДКА_БРИГАД_ПКРС"/>
      <sheetName val="График_"/>
      <sheetName val="График_А4"/>
      <sheetName val="График_жид_"/>
      <sheetName val="Лист3"/>
      <sheetName val="СНГ"/>
      <sheetName val="Расчет"/>
      <sheetName val="себестоимость"/>
      <sheetName val="Макрос1"/>
      <sheetName val="Бурение"/>
      <sheetName val="Настр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рапорт98"/>
      <sheetName val="Face"/>
      <sheetName val="расчет"/>
      <sheetName val="input"/>
      <sheetName val="база"/>
      <sheetName val="ввод"/>
      <sheetName val="Макрос3"/>
      <sheetName val="стат.пар"/>
      <sheetName val="Лист5"/>
      <sheetName val="ЦДНГ_юнг"/>
      <sheetName val="Закрытие "/>
      <sheetName val="стат_пар"/>
      <sheetName val="стат_пар1"/>
      <sheetName val="Закрытие_"/>
      <sheetName val="Scenar"/>
      <sheetName val="параметры"/>
      <sheetName val="Остановки"/>
      <sheetName val="лист2"/>
      <sheetName val="Консервация_ ликвида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4">
          <cell r="N4" t="str">
            <v>Правд</v>
          </cell>
        </row>
        <row r="5">
          <cell r="N5" t="str">
            <v>Вост.</v>
          </cell>
        </row>
        <row r="6">
          <cell r="N6" t="str">
            <v>цднг2</v>
          </cell>
        </row>
        <row r="7">
          <cell r="N7" t="str">
            <v>цднг3</v>
          </cell>
        </row>
        <row r="8">
          <cell r="N8" t="str">
            <v>Зап.Сал.</v>
          </cell>
        </row>
        <row r="9">
          <cell r="N9" t="str">
            <v>Лемп.</v>
          </cell>
        </row>
        <row r="10">
          <cell r="N10" t="str">
            <v>цднг5</v>
          </cell>
        </row>
        <row r="11">
          <cell r="N11" t="str">
            <v>цднг6</v>
          </cell>
        </row>
        <row r="12">
          <cell r="N12" t="str">
            <v>цднг7</v>
          </cell>
        </row>
        <row r="27">
          <cell r="N27" t="str">
            <v>Правд</v>
          </cell>
        </row>
        <row r="28">
          <cell r="N28" t="str">
            <v>Вост.</v>
          </cell>
        </row>
        <row r="29">
          <cell r="N29" t="str">
            <v>С.Сал.</v>
          </cell>
        </row>
        <row r="30">
          <cell r="N30" t="str">
            <v>ДНС-1</v>
          </cell>
        </row>
        <row r="31">
          <cell r="N31" t="str">
            <v>Зап.Сал.</v>
          </cell>
        </row>
        <row r="32">
          <cell r="N32" t="str">
            <v>Лемп.</v>
          </cell>
        </row>
        <row r="33">
          <cell r="N33" t="str">
            <v>ДНС-2</v>
          </cell>
        </row>
        <row r="34">
          <cell r="N34" t="str">
            <v>Лев.берег</v>
          </cell>
        </row>
        <row r="35">
          <cell r="N35" t="str">
            <v>ДНС-1</v>
          </cell>
        </row>
        <row r="60">
          <cell r="N60" t="str">
            <v>потери</v>
          </cell>
        </row>
        <row r="71">
          <cell r="B71">
            <v>62400</v>
          </cell>
          <cell r="C71">
            <v>62400</v>
          </cell>
          <cell r="D71">
            <v>68800</v>
          </cell>
          <cell r="E71">
            <v>66300</v>
          </cell>
          <cell r="F71">
            <v>68100</v>
          </cell>
          <cell r="G71">
            <v>63400</v>
          </cell>
          <cell r="H71">
            <v>65000</v>
          </cell>
          <cell r="I71">
            <v>64400</v>
          </cell>
          <cell r="J71">
            <v>61400</v>
          </cell>
          <cell r="K71">
            <v>62900</v>
          </cell>
          <cell r="L71">
            <v>60400</v>
          </cell>
        </row>
        <row r="72">
          <cell r="B72">
            <v>11300</v>
          </cell>
          <cell r="C72">
            <v>11300</v>
          </cell>
          <cell r="D72">
            <v>12400</v>
          </cell>
          <cell r="E72">
            <v>11900</v>
          </cell>
          <cell r="F72">
            <v>12300</v>
          </cell>
          <cell r="G72">
            <v>11800</v>
          </cell>
          <cell r="H72">
            <v>12100</v>
          </cell>
          <cell r="I72">
            <v>12100</v>
          </cell>
          <cell r="J72">
            <v>11600</v>
          </cell>
          <cell r="K72">
            <v>11900</v>
          </cell>
          <cell r="L72">
            <v>11400</v>
          </cell>
        </row>
        <row r="73">
          <cell r="B73">
            <v>24900</v>
          </cell>
          <cell r="C73">
            <v>24900</v>
          </cell>
          <cell r="D73">
            <v>26800</v>
          </cell>
          <cell r="E73">
            <v>25000</v>
          </cell>
          <cell r="F73">
            <v>25200</v>
          </cell>
          <cell r="G73">
            <v>28900</v>
          </cell>
          <cell r="H73">
            <v>29600</v>
          </cell>
          <cell r="I73">
            <v>29100</v>
          </cell>
          <cell r="J73">
            <v>27700</v>
          </cell>
          <cell r="K73">
            <v>28200</v>
          </cell>
          <cell r="L73">
            <v>27100</v>
          </cell>
        </row>
        <row r="74">
          <cell r="B74">
            <v>187800</v>
          </cell>
          <cell r="C74">
            <v>187800</v>
          </cell>
          <cell r="D74">
            <v>207200</v>
          </cell>
          <cell r="E74">
            <v>199900</v>
          </cell>
          <cell r="F74">
            <v>205800</v>
          </cell>
          <cell r="G74">
            <v>191700</v>
          </cell>
          <cell r="H74">
            <v>197800</v>
          </cell>
          <cell r="I74">
            <v>196100</v>
          </cell>
          <cell r="J74">
            <v>188500</v>
          </cell>
          <cell r="K74">
            <v>193300</v>
          </cell>
          <cell r="L74">
            <v>180900</v>
          </cell>
        </row>
        <row r="75">
          <cell r="B75">
            <v>5500</v>
          </cell>
          <cell r="C75">
            <v>5500</v>
          </cell>
          <cell r="D75">
            <v>6000</v>
          </cell>
          <cell r="E75">
            <v>6000</v>
          </cell>
          <cell r="F75">
            <v>6000</v>
          </cell>
          <cell r="G75">
            <v>6000</v>
          </cell>
          <cell r="H75">
            <v>6000</v>
          </cell>
          <cell r="I75">
            <v>6000</v>
          </cell>
          <cell r="J75">
            <v>5500</v>
          </cell>
          <cell r="K75">
            <v>5500</v>
          </cell>
          <cell r="L75">
            <v>5500</v>
          </cell>
        </row>
        <row r="76">
          <cell r="B76">
            <v>56400</v>
          </cell>
          <cell r="C76">
            <v>56400</v>
          </cell>
          <cell r="D76">
            <v>62100</v>
          </cell>
          <cell r="E76">
            <v>59500</v>
          </cell>
          <cell r="F76">
            <v>61100</v>
          </cell>
          <cell r="G76">
            <v>75400</v>
          </cell>
          <cell r="H76">
            <v>77700</v>
          </cell>
          <cell r="I76">
            <v>77100</v>
          </cell>
          <cell r="J76">
            <v>73300</v>
          </cell>
          <cell r="K76">
            <v>74900</v>
          </cell>
          <cell r="L76">
            <v>71800</v>
          </cell>
        </row>
        <row r="77">
          <cell r="B77">
            <v>133700</v>
          </cell>
          <cell r="C77">
            <v>133700</v>
          </cell>
          <cell r="D77">
            <v>147700</v>
          </cell>
          <cell r="E77">
            <v>142300</v>
          </cell>
          <cell r="F77">
            <v>146300</v>
          </cell>
          <cell r="G77">
            <v>135500</v>
          </cell>
          <cell r="H77">
            <v>139800</v>
          </cell>
          <cell r="I77">
            <v>138800</v>
          </cell>
          <cell r="J77">
            <v>133000</v>
          </cell>
          <cell r="K77">
            <v>136300</v>
          </cell>
          <cell r="L77">
            <v>136300</v>
          </cell>
        </row>
        <row r="78">
          <cell r="B78">
            <v>179100</v>
          </cell>
          <cell r="C78">
            <v>179100</v>
          </cell>
          <cell r="D78">
            <v>200800</v>
          </cell>
          <cell r="E78">
            <v>194900</v>
          </cell>
          <cell r="F78">
            <v>205500</v>
          </cell>
          <cell r="G78">
            <v>197400</v>
          </cell>
          <cell r="H78">
            <v>216900</v>
          </cell>
          <cell r="I78">
            <v>230200</v>
          </cell>
          <cell r="J78">
            <v>234900</v>
          </cell>
          <cell r="K78">
            <v>256900</v>
          </cell>
          <cell r="L78">
            <v>264400</v>
          </cell>
        </row>
        <row r="79">
          <cell r="B79">
            <v>661100</v>
          </cell>
          <cell r="C79">
            <v>661100</v>
          </cell>
          <cell r="D79">
            <v>731800</v>
          </cell>
          <cell r="E79">
            <v>705800</v>
          </cell>
          <cell r="F79">
            <v>2057906</v>
          </cell>
          <cell r="G79">
            <v>2154500</v>
          </cell>
          <cell r="H79">
            <v>2318100</v>
          </cell>
          <cell r="I79">
            <v>2403300</v>
          </cell>
          <cell r="J79">
            <v>2392100</v>
          </cell>
          <cell r="K79">
            <v>2430800</v>
          </cell>
          <cell r="L79">
            <v>2318600</v>
          </cell>
          <cell r="M79">
            <v>0</v>
          </cell>
        </row>
        <row r="80">
          <cell r="F80">
            <v>600000</v>
          </cell>
          <cell r="G80">
            <v>1444400</v>
          </cell>
          <cell r="H80">
            <v>1573200</v>
          </cell>
          <cell r="I80">
            <v>1649500</v>
          </cell>
          <cell r="J80">
            <v>1656200</v>
          </cell>
          <cell r="K80">
            <v>1660900</v>
          </cell>
          <cell r="L80">
            <v>1560800</v>
          </cell>
        </row>
        <row r="81">
          <cell r="F81">
            <v>727606</v>
          </cell>
        </row>
        <row r="82">
          <cell r="D82">
            <v>455500</v>
          </cell>
          <cell r="E82">
            <v>23526.666666666668</v>
          </cell>
          <cell r="F82">
            <v>66384.06451612903</v>
          </cell>
          <cell r="G82">
            <v>71816.666666666672</v>
          </cell>
          <cell r="H82">
            <v>74777.419354838712</v>
          </cell>
          <cell r="I82">
            <v>77525.806451612909</v>
          </cell>
          <cell r="J82">
            <v>79736.666666666672</v>
          </cell>
          <cell r="K82">
            <v>78412.903225806454</v>
          </cell>
          <cell r="L82">
            <v>77286.666666666672</v>
          </cell>
          <cell r="M82">
            <v>0</v>
          </cell>
        </row>
        <row r="83">
          <cell r="B83">
            <v>23610.714285714286</v>
          </cell>
          <cell r="C83">
            <v>23610.714285714286</v>
          </cell>
          <cell r="D83">
            <v>23606.451612903227</v>
          </cell>
          <cell r="E83">
            <v>980.27777777777783</v>
          </cell>
          <cell r="F83">
            <v>2766.0026881720428</v>
          </cell>
          <cell r="G83">
            <v>50870.138888888898</v>
          </cell>
          <cell r="H83">
            <v>52967.338709677424</v>
          </cell>
          <cell r="I83">
            <v>54914.11290322581</v>
          </cell>
          <cell r="J83">
            <v>56480.138888888898</v>
          </cell>
          <cell r="K83">
            <v>55542.473118279573</v>
          </cell>
          <cell r="L83">
            <v>57965</v>
          </cell>
          <cell r="M83">
            <v>0</v>
          </cell>
        </row>
        <row r="84">
          <cell r="B84">
            <v>17708.035714285714</v>
          </cell>
          <cell r="C84">
            <v>17708.035714285714</v>
          </cell>
          <cell r="D84">
            <v>17704.83870967742</v>
          </cell>
          <cell r="E84">
            <v>694.36342592592598</v>
          </cell>
          <cell r="F84">
            <v>1959.2519041218636</v>
          </cell>
          <cell r="G84">
            <v>92763.194444444453</v>
          </cell>
          <cell r="H84">
            <v>96587.5</v>
          </cell>
          <cell r="I84">
            <v>100137.5</v>
          </cell>
          <cell r="J84">
            <v>102993.19444444445</v>
          </cell>
          <cell r="K84">
            <v>101283.33333333333</v>
          </cell>
          <cell r="L84">
            <v>96608.333333333328</v>
          </cell>
          <cell r="M84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Мероприятия за июнь"/>
      <sheetName val="мероприятия на июль"/>
      <sheetName val="Лист2"/>
      <sheetName val="Анализ динамики"/>
    </sheetNames>
    <sheetDataSet>
      <sheetData sheetId="0" refreshError="1"/>
      <sheetData sheetId="1" refreshError="1"/>
      <sheetData sheetId="2" refreshError="1"/>
      <sheetData sheetId="3" refreshError="1">
        <row r="6">
          <cell r="C6" t="str">
            <v>мест-е</v>
          </cell>
          <cell r="D6" t="str">
            <v>№
скв</v>
          </cell>
          <cell r="F6" t="str">
            <v>куст</v>
          </cell>
          <cell r="G6" t="str">
            <v>№ ячейки</v>
          </cell>
          <cell r="M6" t="str">
            <v>март</v>
          </cell>
          <cell r="Z6" t="str">
            <v>апрель</v>
          </cell>
          <cell r="CN6" t="str">
            <v>май</v>
          </cell>
          <cell r="CS6" t="str">
            <v>измен. Апреля к марту</v>
          </cell>
          <cell r="DE6" t="str">
            <v>пояснения и мероприятия после анализа Т.Р. на апрель</v>
          </cell>
          <cell r="DF6" t="str">
            <v>изм. мая к апрелю</v>
          </cell>
          <cell r="DI6" t="str">
            <v>изм. мая к марту</v>
          </cell>
        </row>
        <row r="7">
          <cell r="E7" t="str">
            <v>Тип скважины</v>
          </cell>
          <cell r="H7" t="str">
            <v>Dэ/к</v>
          </cell>
          <cell r="I7" t="str">
            <v>Нвд</v>
          </cell>
          <cell r="J7" t="str">
            <v>удл</v>
          </cell>
          <cell r="K7" t="str">
            <v>СЭ</v>
          </cell>
          <cell r="L7" t="str">
            <v>тип насоса</v>
          </cell>
          <cell r="M7" t="str">
            <v>Рзаб</v>
          </cell>
          <cell r="N7" t="str">
            <v>Ндин</v>
          </cell>
          <cell r="O7" t="str">
            <v xml:space="preserve">Фактический  режим </v>
          </cell>
          <cell r="S7" t="str">
            <v>тип насоса</v>
          </cell>
          <cell r="T7" t="str">
            <v>Номинальнная мощность</v>
          </cell>
          <cell r="U7" t="str">
            <v>напор</v>
          </cell>
          <cell r="V7" t="str">
            <v>Нz</v>
          </cell>
          <cell r="W7" t="str">
            <v>Нсп</v>
          </cell>
          <cell r="X7" t="str">
            <v>Рбуф</v>
          </cell>
          <cell r="Y7" t="str">
            <v>Рл</v>
          </cell>
          <cell r="Z7" t="str">
            <v>Рзаб</v>
          </cell>
          <cell r="AA7" t="str">
            <v>Ндин</v>
          </cell>
          <cell r="AB7" t="str">
            <v xml:space="preserve">Фактический  режим </v>
          </cell>
          <cell r="AE7" t="str">
            <v>состояние на конец месяца</v>
          </cell>
          <cell r="AF7" t="str">
            <v>Рнас</v>
          </cell>
          <cell r="AG7" t="str">
            <v>ГФ</v>
          </cell>
          <cell r="AH7" t="str">
            <v>skin</v>
          </cell>
          <cell r="AI7" t="str">
            <v>JD факт.</v>
          </cell>
          <cell r="AJ7" t="str">
            <v>дата ГРП</v>
          </cell>
          <cell r="AK7" t="str">
            <v>фирма</v>
          </cell>
          <cell r="AL7" t="str">
            <v xml:space="preserve">в-сть ж-ти </v>
          </cell>
          <cell r="AM7" t="str">
            <v>об. к-т</v>
          </cell>
          <cell r="AN7" t="str">
            <v>плот-ть нефти</v>
          </cell>
          <cell r="AO7" t="str">
            <v>плот-ть воды</v>
          </cell>
          <cell r="AP7" t="str">
            <v>Нперф</v>
          </cell>
          <cell r="AQ7" t="str">
            <v>k</v>
          </cell>
          <cell r="AR7" t="str">
            <v>kh</v>
          </cell>
          <cell r="AS7" t="str">
            <v>Кпр</v>
          </cell>
          <cell r="AT7" t="str">
            <v>Рзаб</v>
          </cell>
          <cell r="AU7" t="str">
            <v>Qж</v>
          </cell>
          <cell r="AV7" t="str">
            <v>Qж  с поправкой на диаметр колонны</v>
          </cell>
          <cell r="AW7" t="str">
            <v xml:space="preserve">Qн </v>
          </cell>
          <cell r="AX7" t="str">
            <v>прирост</v>
          </cell>
          <cell r="AY7" t="str">
            <v>JD опт.</v>
          </cell>
          <cell r="AZ7" t="str">
            <v>skin</v>
          </cell>
          <cell r="BA7" t="str">
            <v>Кпр 
 от стимуляции</v>
          </cell>
          <cell r="BB7" t="str">
            <v xml:space="preserve">Qж </v>
          </cell>
          <cell r="BC7" t="str">
            <v>Qж  с поправкой на диаметр колонны</v>
          </cell>
          <cell r="BD7" t="str">
            <v xml:space="preserve">Qн </v>
          </cell>
          <cell r="BE7" t="str">
            <v>прирост от стимуляции</v>
          </cell>
          <cell r="BF7" t="str">
            <v>общий прирост</v>
          </cell>
          <cell r="BG7" t="str">
            <v>% прироста</v>
          </cell>
          <cell r="BH7" t="str">
            <v>Планируемый
насос</v>
          </cell>
          <cell r="BI7" t="str">
            <v>КВЧ</v>
          </cell>
          <cell r="BJ7" t="str">
            <v>Время до псевдоустановившегося
режима, дней</v>
          </cell>
          <cell r="BK7" t="str">
            <v>Причина недостижения
потенциала</v>
          </cell>
          <cell r="BL7" t="str">
            <v>Примечание</v>
          </cell>
          <cell r="BM7" t="str">
            <v>Дата
запуска после КРС</v>
          </cell>
          <cell r="BN7" t="str">
            <v>Проверки</v>
          </cell>
          <cell r="BR7" t="str">
            <v>Дата пуска</v>
          </cell>
          <cell r="BS7" t="str">
            <v>Дата останова</v>
          </cell>
          <cell r="BT7" t="str">
            <v>Радиус контура питания</v>
          </cell>
          <cell r="BU7" t="str">
            <v>Мероприятия</v>
          </cell>
          <cell r="BV7" t="str">
            <v>№ бригады</v>
          </cell>
          <cell r="BW7" t="str">
            <v>Цех</v>
          </cell>
          <cell r="BX7" t="str">
            <v>Код пласта</v>
          </cell>
          <cell r="BY7" t="str">
            <v>Фонтан через насос</v>
          </cell>
          <cell r="BZ7" t="str">
            <v>№
скв</v>
          </cell>
          <cell r="CA7" t="str">
            <v>куст</v>
          </cell>
          <cell r="CB7" t="str">
            <v>СЭ</v>
          </cell>
          <cell r="CC7" t="str">
            <v>тип насоса</v>
          </cell>
          <cell r="CD7" t="str">
            <v>Рпл</v>
          </cell>
          <cell r="CE7" t="str">
            <v>Нд</v>
          </cell>
          <cell r="CF7" t="str">
            <v>Pзатр</v>
          </cell>
          <cell r="CG7" t="str">
            <v>Рзаб</v>
          </cell>
          <cell r="CH7" t="str">
            <v>нефти</v>
          </cell>
          <cell r="CK7" t="str">
            <v>состояние на конец месяца</v>
          </cell>
          <cell r="CL7" t="str">
            <v>Кпр</v>
          </cell>
          <cell r="CM7" t="str">
            <v>Qж пот</v>
          </cell>
          <cell r="CN7" t="str">
            <v>Рзаб</v>
          </cell>
          <cell r="CO7" t="str">
            <v>Ндин</v>
          </cell>
          <cell r="CP7" t="str">
            <v xml:space="preserve">Фактический  режим </v>
          </cell>
          <cell r="CS7" t="str">
            <v>Измен. дебита жидк.</v>
          </cell>
          <cell r="CT7" t="str">
            <v>Потери по нефти</v>
          </cell>
          <cell r="CU7" t="str">
            <v>Изменение пластового</v>
          </cell>
          <cell r="CV7" t="str">
            <v xml:space="preserve">Отклонение Кпр, % </v>
          </cell>
          <cell r="CW7" t="str">
            <v xml:space="preserve">Отклонение Qж, % </v>
          </cell>
          <cell r="CX7" t="str">
            <v xml:space="preserve">Отклонение обводн., % </v>
          </cell>
          <cell r="CY7" t="str">
            <v xml:space="preserve">Отклонение Рзаб., % </v>
          </cell>
          <cell r="CZ7" t="str">
            <v>Причина отклонений К пр</v>
          </cell>
          <cell r="DA7" t="str">
            <v>Причина отклонений Qж</v>
          </cell>
          <cell r="DB7" t="str">
            <v>Причина отклонений % воды</v>
          </cell>
          <cell r="DC7" t="str">
            <v>Причина отклонений Рзаб</v>
          </cell>
          <cell r="DD7" t="str">
            <v>Измен. Обводн.</v>
          </cell>
          <cell r="DF7" t="str">
            <v>Измен. дебита жидк.</v>
          </cell>
          <cell r="DG7" t="str">
            <v>Потери по нефти</v>
          </cell>
          <cell r="DH7" t="str">
            <v>Измен. Обводн.</v>
          </cell>
          <cell r="DI7" t="str">
            <v>Измен. дебита жидк.</v>
          </cell>
          <cell r="DJ7" t="str">
            <v>Потери по нефти</v>
          </cell>
          <cell r="DK7" t="str">
            <v>Измен. Обводн.</v>
          </cell>
        </row>
        <row r="8">
          <cell r="O8" t="str">
            <v>нефти</v>
          </cell>
          <cell r="P8" t="str">
            <v>жид-
кости</v>
          </cell>
          <cell r="Q8" t="str">
            <v>%</v>
          </cell>
          <cell r="AB8" t="str">
            <v>нефти</v>
          </cell>
          <cell r="AC8" t="str">
            <v>жид-
кости</v>
          </cell>
          <cell r="AD8" t="str">
            <v>%</v>
          </cell>
          <cell r="BN8" t="str">
            <v>Ошибки</v>
          </cell>
          <cell r="BP8" t="str">
            <v>Предупреждения</v>
          </cell>
          <cell r="CI8" t="str">
            <v>жид-
кости</v>
          </cell>
          <cell r="CJ8" t="str">
            <v>%</v>
          </cell>
          <cell r="CP8" t="str">
            <v>нефти</v>
          </cell>
          <cell r="CQ8" t="str">
            <v>жид-
кости</v>
          </cell>
          <cell r="CR8" t="str">
            <v>%</v>
          </cell>
        </row>
        <row r="9">
          <cell r="BN9" t="str">
            <v>Число
ошибок</v>
          </cell>
          <cell r="BO9" t="str">
            <v>Первая
ошибка</v>
          </cell>
          <cell r="BP9" t="str">
            <v>Число
предупреждений</v>
          </cell>
          <cell r="BQ9" t="str">
            <v>Первое
предупреждение</v>
          </cell>
          <cell r="BV9" t="str">
            <v>№бригады</v>
          </cell>
        </row>
        <row r="10">
          <cell r="C10" t="str">
            <v>Падение gж (более 15% при увеличении Pзаб)</v>
          </cell>
        </row>
        <row r="11">
          <cell r="C11" t="str">
            <v>МАМОНТОВСКОЕ</v>
          </cell>
          <cell r="D11" t="str">
            <v>1433</v>
          </cell>
          <cell r="F11" t="str">
            <v xml:space="preserve">  270</v>
          </cell>
          <cell r="G11" t="str">
            <v>5.1</v>
          </cell>
          <cell r="M11">
            <v>115.783</v>
          </cell>
          <cell r="N11">
            <v>1391</v>
          </cell>
          <cell r="O11">
            <v>22.151</v>
          </cell>
          <cell r="P11">
            <v>360</v>
          </cell>
          <cell r="Q11">
            <v>93</v>
          </cell>
          <cell r="Z11">
            <v>119.05900000000001</v>
          </cell>
          <cell r="AA11">
            <v>1337</v>
          </cell>
          <cell r="AB11">
            <v>25.104000000000003</v>
          </cell>
          <cell r="AC11">
            <v>357</v>
          </cell>
          <cell r="AD11">
            <v>92</v>
          </cell>
          <cell r="CN11">
            <v>130.93200000000002</v>
          </cell>
          <cell r="CO11">
            <v>1028</v>
          </cell>
          <cell r="CP11">
            <v>19.268000000000001</v>
          </cell>
          <cell r="CQ11">
            <v>274</v>
          </cell>
          <cell r="CR11">
            <v>92</v>
          </cell>
          <cell r="CS11">
            <v>-3</v>
          </cell>
          <cell r="CT11">
            <v>2.953000000000003</v>
          </cell>
          <cell r="DD11">
            <v>-1</v>
          </cell>
          <cell r="DF11">
            <v>-83</v>
          </cell>
          <cell r="DG11">
            <v>-5.8360000000000021</v>
          </cell>
          <cell r="DH11">
            <v>0</v>
          </cell>
          <cell r="DI11">
            <v>-86</v>
          </cell>
          <cell r="DJ11">
            <v>-2.8829999999999991</v>
          </cell>
          <cell r="DK11">
            <v>-1</v>
          </cell>
        </row>
        <row r="12">
          <cell r="C12" t="str">
            <v>МАМОНТОВСКОЕ</v>
          </cell>
          <cell r="D12" t="str">
            <v>20327</v>
          </cell>
          <cell r="F12" t="str">
            <v xml:space="preserve">  651</v>
          </cell>
          <cell r="G12" t="str">
            <v>11.2</v>
          </cell>
          <cell r="M12">
            <v>52.217000000000006</v>
          </cell>
          <cell r="N12">
            <v>2001</v>
          </cell>
          <cell r="O12">
            <v>2.0499999999999998</v>
          </cell>
          <cell r="P12">
            <v>3</v>
          </cell>
          <cell r="Q12">
            <v>22</v>
          </cell>
          <cell r="Z12">
            <v>52.831000000000003</v>
          </cell>
          <cell r="AA12">
            <v>2001</v>
          </cell>
          <cell r="AB12">
            <v>6.0940000000000003</v>
          </cell>
          <cell r="AC12">
            <v>9</v>
          </cell>
          <cell r="AD12">
            <v>22.7</v>
          </cell>
          <cell r="CN12">
            <v>59.305</v>
          </cell>
          <cell r="CO12">
            <v>1922</v>
          </cell>
          <cell r="CP12">
            <v>2.0310000000000001</v>
          </cell>
          <cell r="CQ12">
            <v>3</v>
          </cell>
          <cell r="CR12">
            <v>22.7</v>
          </cell>
          <cell r="CS12">
            <v>6</v>
          </cell>
          <cell r="CT12">
            <v>4.0440000000000005</v>
          </cell>
          <cell r="DD12">
            <v>0.69999999999999929</v>
          </cell>
          <cell r="DF12">
            <v>-6</v>
          </cell>
          <cell r="DG12">
            <v>-4.0630000000000006</v>
          </cell>
          <cell r="DH12">
            <v>0</v>
          </cell>
          <cell r="DI12">
            <v>0</v>
          </cell>
          <cell r="DJ12">
            <v>-1.8999999999999684E-2</v>
          </cell>
          <cell r="DK12">
            <v>0.69999999999999929</v>
          </cell>
        </row>
        <row r="13">
          <cell r="C13" t="str">
            <v>МАМОНТОВСКОЕ</v>
          </cell>
          <cell r="D13" t="str">
            <v>412</v>
          </cell>
          <cell r="F13" t="str">
            <v xml:space="preserve">  20</v>
          </cell>
          <cell r="G13" t="str">
            <v>4.8</v>
          </cell>
          <cell r="M13">
            <v>140.17500000000001</v>
          </cell>
          <cell r="N13">
            <v>1094</v>
          </cell>
          <cell r="O13">
            <v>30.22</v>
          </cell>
          <cell r="P13">
            <v>382</v>
          </cell>
          <cell r="Q13">
            <v>91</v>
          </cell>
          <cell r="Z13">
            <v>156.65300000000002</v>
          </cell>
          <cell r="AA13">
            <v>889</v>
          </cell>
          <cell r="AB13">
            <v>29.271000000000001</v>
          </cell>
          <cell r="AC13">
            <v>370</v>
          </cell>
          <cell r="AD13">
            <v>91</v>
          </cell>
          <cell r="CN13">
            <v>209.79400000000001</v>
          </cell>
          <cell r="CO13">
            <v>203</v>
          </cell>
          <cell r="CP13">
            <v>15.426</v>
          </cell>
          <cell r="CQ13">
            <v>195</v>
          </cell>
          <cell r="CR13">
            <v>91</v>
          </cell>
          <cell r="CS13">
            <v>-12</v>
          </cell>
          <cell r="CT13">
            <v>-0.94899999999999807</v>
          </cell>
          <cell r="DD13">
            <v>0</v>
          </cell>
          <cell r="DF13">
            <v>-175</v>
          </cell>
          <cell r="DG13">
            <v>-13.845000000000001</v>
          </cell>
          <cell r="DH13">
            <v>0</v>
          </cell>
          <cell r="DI13">
            <v>-187</v>
          </cell>
          <cell r="DJ13">
            <v>-14.793999999999999</v>
          </cell>
          <cell r="DK13">
            <v>0</v>
          </cell>
        </row>
        <row r="14">
          <cell r="C14" t="str">
            <v>МАМОНТОВСКОЕ</v>
          </cell>
          <cell r="D14" t="str">
            <v>6473</v>
          </cell>
          <cell r="F14" t="str">
            <v xml:space="preserve">  114</v>
          </cell>
          <cell r="G14" t="str">
            <v>11.6</v>
          </cell>
          <cell r="M14">
            <v>77.465000000000003</v>
          </cell>
          <cell r="N14">
            <v>1762</v>
          </cell>
          <cell r="O14">
            <v>34.703000000000003</v>
          </cell>
          <cell r="P14">
            <v>94</v>
          </cell>
          <cell r="Q14">
            <v>58</v>
          </cell>
          <cell r="Z14">
            <v>75.241</v>
          </cell>
          <cell r="AA14">
            <v>1769</v>
          </cell>
          <cell r="AB14">
            <v>33.754000000000005</v>
          </cell>
          <cell r="AC14">
            <v>96</v>
          </cell>
          <cell r="AD14">
            <v>60</v>
          </cell>
          <cell r="CN14">
            <v>76.174999999999997</v>
          </cell>
          <cell r="CO14">
            <v>1771</v>
          </cell>
          <cell r="CP14">
            <v>27.425000000000001</v>
          </cell>
          <cell r="CQ14">
            <v>78</v>
          </cell>
          <cell r="CR14">
            <v>60</v>
          </cell>
          <cell r="CS14">
            <v>2</v>
          </cell>
          <cell r="CT14">
            <v>-0.94899999999999807</v>
          </cell>
          <cell r="DD14">
            <v>2</v>
          </cell>
          <cell r="DF14">
            <v>-18</v>
          </cell>
          <cell r="DG14">
            <v>-6.3290000000000042</v>
          </cell>
          <cell r="DH14">
            <v>0</v>
          </cell>
          <cell r="DI14">
            <v>-16</v>
          </cell>
          <cell r="DJ14">
            <v>-7.2780000000000022</v>
          </cell>
          <cell r="DK14">
            <v>2</v>
          </cell>
        </row>
        <row r="15">
          <cell r="C15" t="str">
            <v>МАМОНТОВСКОЕ</v>
          </cell>
          <cell r="D15" t="str">
            <v>6523</v>
          </cell>
          <cell r="F15" t="str">
            <v xml:space="preserve">  128</v>
          </cell>
          <cell r="G15" t="str">
            <v>12.6</v>
          </cell>
          <cell r="M15">
            <v>118.51400000000001</v>
          </cell>
          <cell r="N15">
            <v>1337</v>
          </cell>
          <cell r="O15">
            <v>24.26</v>
          </cell>
          <cell r="P15">
            <v>345</v>
          </cell>
          <cell r="Q15">
            <v>92</v>
          </cell>
          <cell r="Z15">
            <v>118.548</v>
          </cell>
          <cell r="AA15">
            <v>1337</v>
          </cell>
          <cell r="AB15">
            <v>23.047000000000001</v>
          </cell>
          <cell r="AC15">
            <v>345</v>
          </cell>
          <cell r="AD15">
            <v>92.4</v>
          </cell>
          <cell r="CN15">
            <v>120.01600000000001</v>
          </cell>
          <cell r="CO15">
            <v>1314</v>
          </cell>
          <cell r="CP15">
            <v>22.784000000000002</v>
          </cell>
          <cell r="CQ15">
            <v>288</v>
          </cell>
          <cell r="CR15">
            <v>91</v>
          </cell>
          <cell r="CS15">
            <v>0</v>
          </cell>
          <cell r="CT15">
            <v>-1.213000000000001</v>
          </cell>
          <cell r="DD15">
            <v>0.40000000000000568</v>
          </cell>
          <cell r="DF15">
            <v>-57</v>
          </cell>
          <cell r="DG15">
            <v>-0.26299999999999812</v>
          </cell>
          <cell r="DH15">
            <v>-1.4000000000000057</v>
          </cell>
          <cell r="DI15">
            <v>-57</v>
          </cell>
          <cell r="DJ15">
            <v>-1.4759999999999991</v>
          </cell>
          <cell r="DK15">
            <v>-1</v>
          </cell>
        </row>
        <row r="16">
          <cell r="C16" t="str">
            <v>МАМОНТОВСКОЕ</v>
          </cell>
          <cell r="D16" t="str">
            <v>6825</v>
          </cell>
          <cell r="F16" t="str">
            <v xml:space="preserve"> A117</v>
          </cell>
          <cell r="G16" t="str">
            <v>11.7</v>
          </cell>
          <cell r="M16">
            <v>131.31</v>
          </cell>
          <cell r="N16">
            <v>1171</v>
          </cell>
          <cell r="O16">
            <v>5.2210000000000001</v>
          </cell>
          <cell r="P16">
            <v>99</v>
          </cell>
          <cell r="Q16">
            <v>94</v>
          </cell>
          <cell r="Z16">
            <v>129.9</v>
          </cell>
          <cell r="AA16">
            <v>1176</v>
          </cell>
          <cell r="AB16">
            <v>5.01</v>
          </cell>
          <cell r="AC16">
            <v>95</v>
          </cell>
          <cell r="AD16">
            <v>94</v>
          </cell>
          <cell r="CN16">
            <v>133.523</v>
          </cell>
          <cell r="CO16">
            <v>1045</v>
          </cell>
          <cell r="CP16">
            <v>2.8130000000000002</v>
          </cell>
          <cell r="CQ16">
            <v>64</v>
          </cell>
          <cell r="CR16">
            <v>95</v>
          </cell>
          <cell r="CS16">
            <v>-4</v>
          </cell>
          <cell r="CT16">
            <v>-0.2110000000000003</v>
          </cell>
          <cell r="DD16">
            <v>0</v>
          </cell>
          <cell r="DF16">
            <v>-31</v>
          </cell>
          <cell r="DG16">
            <v>-2.1969999999999996</v>
          </cell>
          <cell r="DH16">
            <v>1</v>
          </cell>
          <cell r="DI16">
            <v>-35</v>
          </cell>
          <cell r="DJ16">
            <v>-2.4079999999999999</v>
          </cell>
          <cell r="DK16">
            <v>1</v>
          </cell>
        </row>
        <row r="17">
          <cell r="C17" t="str">
            <v>МАМОНТОВСКОЕ</v>
          </cell>
          <cell r="D17" t="str">
            <v>740</v>
          </cell>
          <cell r="F17" t="str">
            <v xml:space="preserve">  84</v>
          </cell>
          <cell r="G17" t="str">
            <v>10.3</v>
          </cell>
          <cell r="M17">
            <v>99.474000000000004</v>
          </cell>
          <cell r="N17">
            <v>1572</v>
          </cell>
          <cell r="O17">
            <v>23.909000000000002</v>
          </cell>
          <cell r="P17">
            <v>40</v>
          </cell>
          <cell r="Q17">
            <v>32</v>
          </cell>
          <cell r="Z17">
            <v>72.762</v>
          </cell>
          <cell r="AA17">
            <v>1960</v>
          </cell>
          <cell r="AB17">
            <v>28.142000000000003</v>
          </cell>
          <cell r="AC17">
            <v>48</v>
          </cell>
          <cell r="AD17">
            <v>33.299999999999997</v>
          </cell>
          <cell r="CN17">
            <v>73.106999999999999</v>
          </cell>
          <cell r="CO17">
            <v>1931</v>
          </cell>
          <cell r="CP17">
            <v>21.201000000000001</v>
          </cell>
          <cell r="CQ17">
            <v>36</v>
          </cell>
          <cell r="CR17">
            <v>33</v>
          </cell>
          <cell r="CS17">
            <v>8</v>
          </cell>
          <cell r="CT17">
            <v>4.2330000000000005</v>
          </cell>
          <cell r="DD17">
            <v>1.2999999999999972</v>
          </cell>
          <cell r="DF17">
            <v>-12</v>
          </cell>
          <cell r="DG17">
            <v>-6.9410000000000025</v>
          </cell>
          <cell r="DH17">
            <v>-0.29999999999999716</v>
          </cell>
          <cell r="DI17">
            <v>-4</v>
          </cell>
          <cell r="DJ17">
            <v>-2.708000000000002</v>
          </cell>
          <cell r="DK17">
            <v>1</v>
          </cell>
        </row>
        <row r="18">
          <cell r="C18" t="str">
            <v>МАМОНТОВСКОЕ</v>
          </cell>
          <cell r="D18" t="str">
            <v>7500</v>
          </cell>
          <cell r="F18" t="str">
            <v xml:space="preserve">  702</v>
          </cell>
          <cell r="G18" t="str">
            <v>41.11, 41.15</v>
          </cell>
          <cell r="M18">
            <v>69.88300000000001</v>
          </cell>
          <cell r="N18">
            <v>1410</v>
          </cell>
          <cell r="O18">
            <v>16.55</v>
          </cell>
          <cell r="P18">
            <v>145</v>
          </cell>
          <cell r="Q18">
            <v>87</v>
          </cell>
          <cell r="Z18">
            <v>86.109000000000009</v>
          </cell>
          <cell r="AA18">
            <v>1368</v>
          </cell>
          <cell r="AB18">
            <v>17.594999999999999</v>
          </cell>
          <cell r="AC18">
            <v>120</v>
          </cell>
          <cell r="AD18">
            <v>83.3</v>
          </cell>
          <cell r="CN18">
            <v>101.545</v>
          </cell>
          <cell r="CO18">
            <v>1020</v>
          </cell>
          <cell r="CP18">
            <v>10.949</v>
          </cell>
          <cell r="CQ18">
            <v>86</v>
          </cell>
          <cell r="CR18">
            <v>85.5</v>
          </cell>
          <cell r="CS18">
            <v>-25</v>
          </cell>
          <cell r="CT18">
            <v>1.0449999999999982</v>
          </cell>
          <cell r="DD18">
            <v>-3.7000000000000028</v>
          </cell>
          <cell r="DF18">
            <v>-34</v>
          </cell>
          <cell r="DG18">
            <v>-6.645999999999999</v>
          </cell>
          <cell r="DH18">
            <v>2.2000000000000028</v>
          </cell>
          <cell r="DI18">
            <v>-59</v>
          </cell>
          <cell r="DJ18">
            <v>-5.6010000000000009</v>
          </cell>
          <cell r="DK18">
            <v>-1.5</v>
          </cell>
        </row>
        <row r="19">
          <cell r="C19" t="str">
            <v>МАМОНТОВСКОЕ</v>
          </cell>
          <cell r="D19" t="str">
            <v>7648</v>
          </cell>
          <cell r="F19" t="str">
            <v xml:space="preserve">  424</v>
          </cell>
          <cell r="G19" t="str">
            <v>41.7</v>
          </cell>
          <cell r="M19">
            <v>55.889000000000003</v>
          </cell>
          <cell r="N19">
            <v>1710</v>
          </cell>
          <cell r="O19">
            <v>9.9280000000000008</v>
          </cell>
          <cell r="P19">
            <v>22</v>
          </cell>
          <cell r="Q19">
            <v>48.6</v>
          </cell>
          <cell r="Z19">
            <v>56.003</v>
          </cell>
          <cell r="AA19">
            <v>1710</v>
          </cell>
          <cell r="AB19">
            <v>9.8510000000000009</v>
          </cell>
          <cell r="AC19">
            <v>22</v>
          </cell>
          <cell r="AD19">
            <v>49</v>
          </cell>
          <cell r="CN19">
            <v>112.17400000000001</v>
          </cell>
          <cell r="CO19">
            <v>973</v>
          </cell>
          <cell r="CP19">
            <v>6.9540000000000006</v>
          </cell>
          <cell r="CQ19">
            <v>18</v>
          </cell>
          <cell r="CR19">
            <v>56</v>
          </cell>
          <cell r="CS19">
            <v>0</v>
          </cell>
          <cell r="CT19">
            <v>-7.6999999999999957E-2</v>
          </cell>
          <cell r="DD19">
            <v>0.39999999999999858</v>
          </cell>
          <cell r="DF19">
            <v>-4</v>
          </cell>
          <cell r="DG19">
            <v>-2.8970000000000002</v>
          </cell>
          <cell r="DH19">
            <v>7</v>
          </cell>
          <cell r="DI19">
            <v>-4</v>
          </cell>
          <cell r="DJ19">
            <v>-2.9740000000000002</v>
          </cell>
          <cell r="DK19">
            <v>7.3999999999999986</v>
          </cell>
        </row>
        <row r="20">
          <cell r="C20" t="str">
            <v>МАМОНТОВСКОЕ</v>
          </cell>
          <cell r="D20" t="str">
            <v>7724</v>
          </cell>
          <cell r="F20" t="str">
            <v xml:space="preserve"> B85</v>
          </cell>
          <cell r="G20" t="str">
            <v>41.14</v>
          </cell>
          <cell r="M20">
            <v>135.13800000000001</v>
          </cell>
          <cell r="N20">
            <v>541</v>
          </cell>
          <cell r="O20">
            <v>19.202000000000002</v>
          </cell>
          <cell r="P20">
            <v>270</v>
          </cell>
          <cell r="Q20">
            <v>91.9</v>
          </cell>
          <cell r="Z20">
            <v>133.89500000000001</v>
          </cell>
          <cell r="AA20">
            <v>587</v>
          </cell>
          <cell r="AB20">
            <v>18.561</v>
          </cell>
          <cell r="AC20">
            <v>302</v>
          </cell>
          <cell r="AD20">
            <v>93</v>
          </cell>
          <cell r="CN20">
            <v>157.756</v>
          </cell>
          <cell r="CO20">
            <v>164</v>
          </cell>
          <cell r="CP20">
            <v>9.8620000000000001</v>
          </cell>
          <cell r="CQ20">
            <v>144</v>
          </cell>
          <cell r="CR20">
            <v>92.2</v>
          </cell>
          <cell r="CS20">
            <v>32</v>
          </cell>
          <cell r="CT20">
            <v>-0.64100000000000179</v>
          </cell>
          <cell r="DD20">
            <v>1.0999999999999943</v>
          </cell>
          <cell r="DF20">
            <v>-158</v>
          </cell>
          <cell r="DG20">
            <v>-8.6989999999999998</v>
          </cell>
          <cell r="DH20">
            <v>-0.79999999999999716</v>
          </cell>
          <cell r="DI20">
            <v>-126</v>
          </cell>
          <cell r="DJ20">
            <v>-9.3400000000000016</v>
          </cell>
          <cell r="DK20">
            <v>0.29999999999999716</v>
          </cell>
        </row>
        <row r="21">
          <cell r="C21" t="str">
            <v>МАМОНТОВСКОЕ</v>
          </cell>
          <cell r="D21" t="str">
            <v>8023</v>
          </cell>
          <cell r="F21" t="str">
            <v xml:space="preserve"> A37</v>
          </cell>
          <cell r="G21" t="str">
            <v>41.7</v>
          </cell>
          <cell r="M21">
            <v>41.419000000000004</v>
          </cell>
          <cell r="N21">
            <v>1649</v>
          </cell>
          <cell r="O21">
            <v>2.1070000000000002</v>
          </cell>
          <cell r="P21">
            <v>3</v>
          </cell>
          <cell r="Q21">
            <v>20</v>
          </cell>
          <cell r="Z21">
            <v>41.419000000000004</v>
          </cell>
          <cell r="AA21">
            <v>1649</v>
          </cell>
          <cell r="AB21">
            <v>5.6190000000000007</v>
          </cell>
          <cell r="AC21">
            <v>8</v>
          </cell>
          <cell r="AD21">
            <v>20</v>
          </cell>
          <cell r="CN21">
            <v>56.375</v>
          </cell>
          <cell r="CO21">
            <v>1468</v>
          </cell>
          <cell r="CP21">
            <v>2.1070000000000002</v>
          </cell>
          <cell r="CQ21">
            <v>3</v>
          </cell>
          <cell r="CR21">
            <v>20</v>
          </cell>
          <cell r="CS21">
            <v>5</v>
          </cell>
          <cell r="CT21">
            <v>3.5120000000000005</v>
          </cell>
          <cell r="DD21">
            <v>0</v>
          </cell>
          <cell r="DF21">
            <v>-5</v>
          </cell>
          <cell r="DG21">
            <v>-3.5120000000000005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</row>
        <row r="22">
          <cell r="C22" t="str">
            <v>МАМОНТОВСКОЕ</v>
          </cell>
          <cell r="D22" t="str">
            <v>8089</v>
          </cell>
          <cell r="F22" t="str">
            <v xml:space="preserve"> Б68</v>
          </cell>
          <cell r="G22" t="str">
            <v>41.10</v>
          </cell>
          <cell r="M22">
            <v>69.043999999999997</v>
          </cell>
          <cell r="N22">
            <v>1219</v>
          </cell>
          <cell r="O22">
            <v>1.3170000000000002</v>
          </cell>
          <cell r="P22">
            <v>3</v>
          </cell>
          <cell r="Q22">
            <v>50</v>
          </cell>
          <cell r="Z22">
            <v>69.043999999999997</v>
          </cell>
          <cell r="AA22">
            <v>1219</v>
          </cell>
          <cell r="AB22">
            <v>4.3899999999999997</v>
          </cell>
          <cell r="AC22">
            <v>10</v>
          </cell>
          <cell r="AD22">
            <v>50</v>
          </cell>
          <cell r="CN22">
            <v>75.942000000000007</v>
          </cell>
          <cell r="CO22">
            <v>1133</v>
          </cell>
          <cell r="CP22">
            <v>1.3170000000000002</v>
          </cell>
          <cell r="CQ22">
            <v>3</v>
          </cell>
          <cell r="CR22">
            <v>50</v>
          </cell>
          <cell r="CS22">
            <v>7</v>
          </cell>
          <cell r="CT22">
            <v>3.0729999999999995</v>
          </cell>
          <cell r="DD22">
            <v>0</v>
          </cell>
          <cell r="DF22">
            <v>-7</v>
          </cell>
          <cell r="DG22">
            <v>-3.0729999999999995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</row>
        <row r="23">
          <cell r="C23" t="str">
            <v>ЭНТЕЛЬСКАЯ ПЛОЩАДЬ</v>
          </cell>
          <cell r="D23" t="str">
            <v>31P</v>
          </cell>
          <cell r="F23" t="str">
            <v xml:space="preserve">  0</v>
          </cell>
          <cell r="M23">
            <v>123.58600000000001</v>
          </cell>
          <cell r="N23">
            <v>1337</v>
          </cell>
          <cell r="O23">
            <v>23.603000000000002</v>
          </cell>
          <cell r="P23">
            <v>222</v>
          </cell>
          <cell r="Q23">
            <v>88</v>
          </cell>
          <cell r="Z23">
            <v>115.351</v>
          </cell>
          <cell r="AA23">
            <v>1398</v>
          </cell>
          <cell r="AB23">
            <v>28.919</v>
          </cell>
          <cell r="AC23">
            <v>272</v>
          </cell>
          <cell r="AD23">
            <v>88</v>
          </cell>
          <cell r="CN23">
            <v>118.873</v>
          </cell>
          <cell r="CO23">
            <v>1322</v>
          </cell>
          <cell r="CP23">
            <v>22.221</v>
          </cell>
          <cell r="CQ23">
            <v>209</v>
          </cell>
          <cell r="CR23">
            <v>88</v>
          </cell>
          <cell r="CS23">
            <v>50</v>
          </cell>
          <cell r="CT23">
            <v>5.3159999999999989</v>
          </cell>
          <cell r="DD23">
            <v>0</v>
          </cell>
          <cell r="DF23">
            <v>-63</v>
          </cell>
          <cell r="DG23">
            <v>-6.6980000000000004</v>
          </cell>
          <cell r="DH23">
            <v>0</v>
          </cell>
          <cell r="DI23">
            <v>-13</v>
          </cell>
          <cell r="DJ23">
            <v>-1.3820000000000014</v>
          </cell>
          <cell r="DK23">
            <v>0</v>
          </cell>
        </row>
        <row r="25">
          <cell r="C25" t="str">
            <v>ПОТЕРИ</v>
          </cell>
          <cell r="CS25">
            <v>66</v>
          </cell>
          <cell r="CT25">
            <v>20.136000000000003</v>
          </cell>
          <cell r="DD25">
            <v>1.1999999999999922</v>
          </cell>
          <cell r="DF25">
            <v>-653</v>
          </cell>
          <cell r="DG25">
            <v>-70.998999999999995</v>
          </cell>
          <cell r="DH25">
            <v>7.7000000000000028</v>
          </cell>
          <cell r="DI25">
            <v>-587</v>
          </cell>
          <cell r="DJ25">
            <v>-50.863000000000014</v>
          </cell>
          <cell r="DK25">
            <v>8.899999999999995</v>
          </cell>
        </row>
        <row r="26">
          <cell r="C26" t="str">
            <v>Падение gж (более 15% при снижении Pзаб)</v>
          </cell>
        </row>
        <row r="27">
          <cell r="C27" t="str">
            <v>МАМОНТОВСКОЕ</v>
          </cell>
          <cell r="D27" t="str">
            <v>30216</v>
          </cell>
          <cell r="F27" t="str">
            <v xml:space="preserve">  514</v>
          </cell>
          <cell r="G27" t="str">
            <v>6.4</v>
          </cell>
          <cell r="M27">
            <v>67.406999999999996</v>
          </cell>
          <cell r="N27">
            <v>1933</v>
          </cell>
          <cell r="O27">
            <v>38.553000000000004</v>
          </cell>
          <cell r="P27">
            <v>258</v>
          </cell>
          <cell r="Q27">
            <v>83</v>
          </cell>
          <cell r="Z27">
            <v>61.304000000000002</v>
          </cell>
          <cell r="AA27">
            <v>2009</v>
          </cell>
          <cell r="AB27">
            <v>37.059000000000005</v>
          </cell>
          <cell r="AC27">
            <v>248</v>
          </cell>
          <cell r="AD27">
            <v>83</v>
          </cell>
          <cell r="CN27">
            <v>59.754000000000005</v>
          </cell>
          <cell r="CO27">
            <v>2028</v>
          </cell>
          <cell r="CP27">
            <v>31.96</v>
          </cell>
          <cell r="CQ27">
            <v>202</v>
          </cell>
          <cell r="CR27">
            <v>82</v>
          </cell>
          <cell r="CS27">
            <v>-10</v>
          </cell>
          <cell r="CT27">
            <v>-1.4939999999999998</v>
          </cell>
          <cell r="DD27">
            <v>0</v>
          </cell>
          <cell r="DF27">
            <v>-46</v>
          </cell>
          <cell r="DG27">
            <v>-5.0990000000000038</v>
          </cell>
          <cell r="DH27">
            <v>-1</v>
          </cell>
          <cell r="DI27">
            <v>-56</v>
          </cell>
          <cell r="DJ27">
            <v>-6.5930000000000035</v>
          </cell>
          <cell r="DK27">
            <v>-1</v>
          </cell>
        </row>
        <row r="28">
          <cell r="C28" t="str">
            <v>МАМОНТОВСКОЕ</v>
          </cell>
          <cell r="D28" t="str">
            <v>6171</v>
          </cell>
          <cell r="F28" t="str">
            <v xml:space="preserve">  543</v>
          </cell>
          <cell r="G28" t="str">
            <v>6.7</v>
          </cell>
          <cell r="M28">
            <v>72.822000000000003</v>
          </cell>
          <cell r="N28">
            <v>1807</v>
          </cell>
          <cell r="O28">
            <v>28.796000000000003</v>
          </cell>
          <cell r="P28">
            <v>182</v>
          </cell>
          <cell r="Q28">
            <v>82</v>
          </cell>
          <cell r="Z28">
            <v>71.988</v>
          </cell>
          <cell r="AA28">
            <v>1805</v>
          </cell>
          <cell r="AB28">
            <v>27.689</v>
          </cell>
          <cell r="AC28">
            <v>175</v>
          </cell>
          <cell r="AD28">
            <v>82</v>
          </cell>
          <cell r="CN28">
            <v>67.606999999999999</v>
          </cell>
          <cell r="CO28">
            <v>1882</v>
          </cell>
          <cell r="CP28">
            <v>23.258000000000003</v>
          </cell>
          <cell r="CQ28">
            <v>147</v>
          </cell>
          <cell r="CR28">
            <v>82</v>
          </cell>
          <cell r="CS28">
            <v>-7</v>
          </cell>
          <cell r="CT28">
            <v>-1.1070000000000029</v>
          </cell>
          <cell r="DD28">
            <v>0</v>
          </cell>
          <cell r="DF28">
            <v>-28</v>
          </cell>
          <cell r="DG28">
            <v>-4.4309999999999974</v>
          </cell>
          <cell r="DH28">
            <v>0</v>
          </cell>
          <cell r="DI28">
            <v>-35</v>
          </cell>
          <cell r="DJ28">
            <v>-5.5380000000000003</v>
          </cell>
          <cell r="DK28">
            <v>0</v>
          </cell>
        </row>
        <row r="29">
          <cell r="C29" t="str">
            <v>МАМОНТОВСКОЕ</v>
          </cell>
          <cell r="D29" t="str">
            <v>748</v>
          </cell>
          <cell r="F29" t="str">
            <v xml:space="preserve">  87</v>
          </cell>
          <cell r="G29" t="str">
            <v>10.6</v>
          </cell>
          <cell r="M29">
            <v>106.27</v>
          </cell>
          <cell r="N29">
            <v>1286</v>
          </cell>
          <cell r="O29">
            <v>19.338000000000001</v>
          </cell>
          <cell r="P29">
            <v>100</v>
          </cell>
          <cell r="Q29">
            <v>78</v>
          </cell>
          <cell r="Z29">
            <v>104.19</v>
          </cell>
          <cell r="AA29">
            <v>1314</v>
          </cell>
          <cell r="AB29">
            <v>15.031000000000001</v>
          </cell>
          <cell r="AC29">
            <v>90</v>
          </cell>
          <cell r="AD29">
            <v>81</v>
          </cell>
          <cell r="CN29">
            <v>103.824</v>
          </cell>
          <cell r="CO29">
            <v>1319</v>
          </cell>
          <cell r="CP29">
            <v>12.025</v>
          </cell>
          <cell r="CQ29">
            <v>72</v>
          </cell>
          <cell r="CR29">
            <v>81</v>
          </cell>
          <cell r="CS29">
            <v>-10</v>
          </cell>
          <cell r="CT29">
            <v>-4.3070000000000004</v>
          </cell>
          <cell r="DD29">
            <v>3</v>
          </cell>
          <cell r="DF29">
            <v>-18</v>
          </cell>
          <cell r="DG29">
            <v>-3.0060000000000002</v>
          </cell>
          <cell r="DH29">
            <v>0</v>
          </cell>
          <cell r="DI29">
            <v>-28</v>
          </cell>
          <cell r="DJ29">
            <v>-7.3130000000000006</v>
          </cell>
          <cell r="DK29">
            <v>3</v>
          </cell>
        </row>
        <row r="30">
          <cell r="C30" t="str">
            <v>МАМОНТОВСКОЕ</v>
          </cell>
          <cell r="D30" t="str">
            <v>7513</v>
          </cell>
          <cell r="F30" t="str">
            <v xml:space="preserve">  749</v>
          </cell>
          <cell r="G30" t="str">
            <v>41.15</v>
          </cell>
          <cell r="M30">
            <v>101.33499999999999</v>
          </cell>
          <cell r="N30">
            <v>901</v>
          </cell>
          <cell r="O30">
            <v>6.0580000000000007</v>
          </cell>
          <cell r="P30">
            <v>138</v>
          </cell>
          <cell r="Q30">
            <v>95</v>
          </cell>
          <cell r="Z30">
            <v>105.119</v>
          </cell>
          <cell r="AA30">
            <v>851</v>
          </cell>
          <cell r="AB30">
            <v>4.5659999999999998</v>
          </cell>
          <cell r="AC30">
            <v>130</v>
          </cell>
          <cell r="AD30">
            <v>96</v>
          </cell>
          <cell r="CN30">
            <v>101.253</v>
          </cell>
          <cell r="CO30">
            <v>927</v>
          </cell>
          <cell r="CP30">
            <v>5.5310000000000006</v>
          </cell>
          <cell r="CQ30">
            <v>105</v>
          </cell>
          <cell r="CR30">
            <v>94</v>
          </cell>
          <cell r="CS30">
            <v>-8</v>
          </cell>
          <cell r="CT30">
            <v>-1.4920000000000009</v>
          </cell>
          <cell r="DD30">
            <v>1</v>
          </cell>
          <cell r="DF30">
            <v>-25</v>
          </cell>
          <cell r="DG30">
            <v>0.96500000000000075</v>
          </cell>
          <cell r="DH30">
            <v>-2</v>
          </cell>
          <cell r="DI30">
            <v>-33</v>
          </cell>
          <cell r="DJ30">
            <v>-0.52700000000000014</v>
          </cell>
          <cell r="DK30">
            <v>-1</v>
          </cell>
        </row>
        <row r="31">
          <cell r="C31" t="str">
            <v>МАМОНТОВСКОЕ</v>
          </cell>
          <cell r="D31" t="str">
            <v>8239</v>
          </cell>
          <cell r="F31" t="str">
            <v xml:space="preserve"> A57</v>
          </cell>
          <cell r="G31" t="str">
            <v>41.10</v>
          </cell>
          <cell r="M31">
            <v>75.069999999999993</v>
          </cell>
          <cell r="N31">
            <v>1350</v>
          </cell>
          <cell r="O31">
            <v>14.03</v>
          </cell>
          <cell r="P31">
            <v>17</v>
          </cell>
          <cell r="Q31">
            <v>6</v>
          </cell>
          <cell r="Z31">
            <v>83.159000000000006</v>
          </cell>
          <cell r="AA31">
            <v>1240</v>
          </cell>
          <cell r="AB31">
            <v>86.659000000000006</v>
          </cell>
          <cell r="AC31">
            <v>105</v>
          </cell>
          <cell r="AD31">
            <v>6</v>
          </cell>
          <cell r="CN31">
            <v>61.906000000000006</v>
          </cell>
          <cell r="CO31">
            <v>1528</v>
          </cell>
          <cell r="CP31">
            <v>63.55</v>
          </cell>
          <cell r="CQ31">
            <v>77</v>
          </cell>
          <cell r="CR31">
            <v>6</v>
          </cell>
          <cell r="CS31">
            <v>88</v>
          </cell>
          <cell r="CT31">
            <v>72.629000000000005</v>
          </cell>
          <cell r="DD31">
            <v>0</v>
          </cell>
          <cell r="DF31">
            <v>-28</v>
          </cell>
          <cell r="DG31">
            <v>-23.109000000000009</v>
          </cell>
          <cell r="DH31">
            <v>0</v>
          </cell>
          <cell r="DI31">
            <v>60</v>
          </cell>
          <cell r="DJ31">
            <v>49.519999999999996</v>
          </cell>
          <cell r="DK31">
            <v>0</v>
          </cell>
        </row>
        <row r="32">
          <cell r="C32" t="str">
            <v>МАМОНТОВСКОЕ</v>
          </cell>
          <cell r="D32" t="str">
            <v>8501</v>
          </cell>
          <cell r="F32" t="str">
            <v xml:space="preserve">  327</v>
          </cell>
          <cell r="G32" t="str">
            <v>81.10</v>
          </cell>
          <cell r="M32">
            <v>87.081000000000003</v>
          </cell>
          <cell r="N32">
            <v>1800</v>
          </cell>
          <cell r="O32">
            <v>10.118</v>
          </cell>
          <cell r="P32">
            <v>33</v>
          </cell>
          <cell r="Q32">
            <v>65</v>
          </cell>
          <cell r="Z32">
            <v>87.847999999999999</v>
          </cell>
          <cell r="AA32">
            <v>1801</v>
          </cell>
          <cell r="AB32">
            <v>9.8290000000000006</v>
          </cell>
          <cell r="AC32">
            <v>33</v>
          </cell>
          <cell r="AD32">
            <v>66</v>
          </cell>
          <cell r="CN32">
            <v>84.653000000000006</v>
          </cell>
          <cell r="CO32">
            <v>1816</v>
          </cell>
          <cell r="CP32">
            <v>6.649</v>
          </cell>
          <cell r="CQ32">
            <v>23</v>
          </cell>
          <cell r="CR32">
            <v>67</v>
          </cell>
          <cell r="CS32">
            <v>0</v>
          </cell>
          <cell r="CT32">
            <v>-0.2889999999999997</v>
          </cell>
          <cell r="DD32">
            <v>1</v>
          </cell>
          <cell r="DF32">
            <v>-10</v>
          </cell>
          <cell r="DG32">
            <v>-3.1800000000000006</v>
          </cell>
          <cell r="DH32">
            <v>1</v>
          </cell>
          <cell r="DI32">
            <v>-10</v>
          </cell>
          <cell r="DJ32">
            <v>-3.4690000000000003</v>
          </cell>
          <cell r="DK32">
            <v>2</v>
          </cell>
        </row>
        <row r="33">
          <cell r="C33" t="str">
            <v>МАМОНТОВСКОЕ</v>
          </cell>
          <cell r="D33" t="str">
            <v>923</v>
          </cell>
          <cell r="F33" t="str">
            <v xml:space="preserve">  88</v>
          </cell>
          <cell r="G33" t="str">
            <v>10.7</v>
          </cell>
          <cell r="M33">
            <v>88.667000000000002</v>
          </cell>
          <cell r="N33">
            <v>1530</v>
          </cell>
          <cell r="O33">
            <v>6.891</v>
          </cell>
          <cell r="P33">
            <v>49</v>
          </cell>
          <cell r="Q33">
            <v>84</v>
          </cell>
          <cell r="Z33">
            <v>87.778000000000006</v>
          </cell>
          <cell r="AA33">
            <v>1535</v>
          </cell>
          <cell r="AB33">
            <v>7.5590000000000002</v>
          </cell>
          <cell r="AC33">
            <v>43</v>
          </cell>
          <cell r="AD33">
            <v>80</v>
          </cell>
          <cell r="CN33">
            <v>85.882000000000005</v>
          </cell>
          <cell r="CO33">
            <v>1553</v>
          </cell>
          <cell r="CP33">
            <v>6.0120000000000005</v>
          </cell>
          <cell r="CQ33">
            <v>36</v>
          </cell>
          <cell r="CR33">
            <v>81</v>
          </cell>
          <cell r="CS33">
            <v>-6</v>
          </cell>
          <cell r="CT33">
            <v>0.66800000000000015</v>
          </cell>
          <cell r="DD33">
            <v>-4</v>
          </cell>
          <cell r="DF33">
            <v>-7</v>
          </cell>
          <cell r="DG33">
            <v>-1.5469999999999997</v>
          </cell>
          <cell r="DH33">
            <v>1</v>
          </cell>
          <cell r="DI33">
            <v>-13</v>
          </cell>
          <cell r="DJ33">
            <v>-0.87899999999999956</v>
          </cell>
          <cell r="DK33">
            <v>-3</v>
          </cell>
        </row>
        <row r="34">
          <cell r="C34" t="str">
            <v>МАМОНТОВСКОЕ</v>
          </cell>
          <cell r="D34" t="str">
            <v>984</v>
          </cell>
          <cell r="F34" t="str">
            <v xml:space="preserve">  128</v>
          </cell>
          <cell r="G34" t="str">
            <v>12.6</v>
          </cell>
          <cell r="M34">
            <v>105.04</v>
          </cell>
          <cell r="N34">
            <v>1428</v>
          </cell>
          <cell r="O34">
            <v>34.808</v>
          </cell>
          <cell r="P34">
            <v>360</v>
          </cell>
          <cell r="Q34">
            <v>89</v>
          </cell>
          <cell r="Z34">
            <v>105.063</v>
          </cell>
          <cell r="AA34">
            <v>1428</v>
          </cell>
          <cell r="AB34">
            <v>28.48</v>
          </cell>
          <cell r="AC34">
            <v>360</v>
          </cell>
          <cell r="AD34">
            <v>91</v>
          </cell>
          <cell r="CN34">
            <v>103.667</v>
          </cell>
          <cell r="CO34">
            <v>1409</v>
          </cell>
          <cell r="CP34">
            <v>21.237000000000002</v>
          </cell>
          <cell r="CQ34">
            <v>302</v>
          </cell>
          <cell r="CR34">
            <v>92</v>
          </cell>
          <cell r="CS34">
            <v>0</v>
          </cell>
          <cell r="CT34">
            <v>-6.3279999999999994</v>
          </cell>
          <cell r="DD34">
            <v>2</v>
          </cell>
          <cell r="DF34">
            <v>-58</v>
          </cell>
          <cell r="DG34">
            <v>-7.2429999999999986</v>
          </cell>
          <cell r="DH34">
            <v>1</v>
          </cell>
          <cell r="DI34">
            <v>-58</v>
          </cell>
          <cell r="DJ34">
            <v>-13.570999999999998</v>
          </cell>
          <cell r="DK34">
            <v>3</v>
          </cell>
        </row>
        <row r="36">
          <cell r="C36" t="str">
            <v>ПОТЕРИ</v>
          </cell>
          <cell r="CS36">
            <v>47</v>
          </cell>
          <cell r="CT36">
            <v>58.28</v>
          </cell>
          <cell r="CU36">
            <v>0</v>
          </cell>
          <cell r="CV36">
            <v>0</v>
          </cell>
          <cell r="CW36">
            <v>0</v>
          </cell>
          <cell r="CX36">
            <v>0</v>
          </cell>
          <cell r="CY36">
            <v>0</v>
          </cell>
          <cell r="CZ36">
            <v>0</v>
          </cell>
          <cell r="DA36">
            <v>0</v>
          </cell>
          <cell r="DB36">
            <v>0</v>
          </cell>
          <cell r="DC36">
            <v>0</v>
          </cell>
          <cell r="DD36">
            <v>3</v>
          </cell>
          <cell r="DF36">
            <v>-220</v>
          </cell>
          <cell r="DG36">
            <v>-46.650000000000006</v>
          </cell>
          <cell r="DH36">
            <v>0</v>
          </cell>
          <cell r="DI36">
            <v>-173</v>
          </cell>
          <cell r="DJ36">
            <v>11.629999999999995</v>
          </cell>
          <cell r="DK36">
            <v>3</v>
          </cell>
        </row>
        <row r="37">
          <cell r="C37" t="str">
            <v>Увеличение обводненности (более 5% абс. при  изменении gж не более 16% отн.)</v>
          </cell>
        </row>
        <row r="38">
          <cell r="C38" t="str">
            <v>МАМОНТОВСКОЕ</v>
          </cell>
          <cell r="D38" t="str">
            <v>30053</v>
          </cell>
          <cell r="F38" t="str">
            <v xml:space="preserve"> A271</v>
          </cell>
          <cell r="G38" t="str">
            <v>81.4</v>
          </cell>
          <cell r="M38">
            <v>114.91800000000001</v>
          </cell>
          <cell r="N38">
            <v>1210</v>
          </cell>
          <cell r="O38">
            <v>134.65700000000001</v>
          </cell>
          <cell r="P38">
            <v>445</v>
          </cell>
          <cell r="Q38">
            <v>66</v>
          </cell>
          <cell r="Z38">
            <v>113.81400000000001</v>
          </cell>
          <cell r="AA38">
            <v>1344</v>
          </cell>
          <cell r="AB38">
            <v>132.43200000000002</v>
          </cell>
          <cell r="AC38">
            <v>480</v>
          </cell>
          <cell r="AD38">
            <v>69</v>
          </cell>
          <cell r="CN38">
            <v>120.081</v>
          </cell>
          <cell r="CO38">
            <v>1073</v>
          </cell>
          <cell r="CP38">
            <v>92.916000000000011</v>
          </cell>
          <cell r="CQ38">
            <v>435</v>
          </cell>
          <cell r="CR38">
            <v>76</v>
          </cell>
          <cell r="CS38">
            <v>35</v>
          </cell>
          <cell r="CT38">
            <v>-2.2249999999999943</v>
          </cell>
          <cell r="DD38">
            <v>3</v>
          </cell>
          <cell r="DF38">
            <v>-45</v>
          </cell>
          <cell r="DG38">
            <v>-39.516000000000005</v>
          </cell>
          <cell r="DH38">
            <v>7</v>
          </cell>
          <cell r="DI38">
            <v>-10</v>
          </cell>
          <cell r="DJ38">
            <v>-41.741</v>
          </cell>
          <cell r="DK38">
            <v>10</v>
          </cell>
        </row>
        <row r="39">
          <cell r="C39" t="str">
            <v>МАМОНТОВСКОЕ</v>
          </cell>
          <cell r="D39" t="str">
            <v>406</v>
          </cell>
          <cell r="F39" t="str">
            <v xml:space="preserve">  24</v>
          </cell>
          <cell r="G39" t="str">
            <v>41.2</v>
          </cell>
          <cell r="M39">
            <v>57.273000000000003</v>
          </cell>
          <cell r="N39">
            <v>1773</v>
          </cell>
          <cell r="O39">
            <v>8.9560000000000013</v>
          </cell>
          <cell r="P39">
            <v>17</v>
          </cell>
          <cell r="Q39">
            <v>40</v>
          </cell>
          <cell r="Z39">
            <v>57.17</v>
          </cell>
          <cell r="AA39">
            <v>1773</v>
          </cell>
          <cell r="AB39">
            <v>10.015000000000001</v>
          </cell>
          <cell r="AC39">
            <v>17</v>
          </cell>
          <cell r="AD39">
            <v>32.9</v>
          </cell>
          <cell r="CN39">
            <v>86.436000000000007</v>
          </cell>
          <cell r="CO39">
            <v>1344</v>
          </cell>
          <cell r="CP39">
            <v>8.9560000000000013</v>
          </cell>
          <cell r="CQ39">
            <v>17</v>
          </cell>
          <cell r="CR39">
            <v>40</v>
          </cell>
          <cell r="CS39">
            <v>0</v>
          </cell>
          <cell r="CT39">
            <v>1.0589999999999993</v>
          </cell>
          <cell r="DD39">
            <v>-7.1000000000000014</v>
          </cell>
          <cell r="DF39">
            <v>0</v>
          </cell>
          <cell r="DG39">
            <v>-1.0589999999999993</v>
          </cell>
          <cell r="DH39">
            <v>7.1000000000000014</v>
          </cell>
          <cell r="DI39">
            <v>0</v>
          </cell>
          <cell r="DJ39">
            <v>0</v>
          </cell>
          <cell r="DK39">
            <v>0</v>
          </cell>
        </row>
        <row r="40">
          <cell r="C40" t="str">
            <v>МАМОНТОВСКОЕ</v>
          </cell>
          <cell r="D40" t="str">
            <v>6353</v>
          </cell>
          <cell r="F40" t="str">
            <v xml:space="preserve"> A69</v>
          </cell>
          <cell r="G40" t="str">
            <v>9.5</v>
          </cell>
          <cell r="M40">
            <v>77.156000000000006</v>
          </cell>
          <cell r="N40">
            <v>1625</v>
          </cell>
          <cell r="O40">
            <v>16.701000000000001</v>
          </cell>
          <cell r="P40">
            <v>50</v>
          </cell>
          <cell r="Q40">
            <v>62</v>
          </cell>
          <cell r="Z40">
            <v>68.353000000000009</v>
          </cell>
          <cell r="AA40">
            <v>1780</v>
          </cell>
          <cell r="AB40">
            <v>13.16</v>
          </cell>
          <cell r="AC40">
            <v>38</v>
          </cell>
          <cell r="AD40">
            <v>60.6</v>
          </cell>
          <cell r="CN40">
            <v>67.584999999999994</v>
          </cell>
          <cell r="CO40">
            <v>1781</v>
          </cell>
          <cell r="CP40">
            <v>10.021000000000001</v>
          </cell>
          <cell r="CQ40">
            <v>38</v>
          </cell>
          <cell r="CR40">
            <v>70</v>
          </cell>
          <cell r="CS40">
            <v>-12</v>
          </cell>
          <cell r="CT40">
            <v>-3.5410000000000004</v>
          </cell>
          <cell r="DD40">
            <v>-1.3999999999999986</v>
          </cell>
          <cell r="DF40">
            <v>0</v>
          </cell>
          <cell r="DG40">
            <v>-3.1389999999999993</v>
          </cell>
          <cell r="DH40">
            <v>9.3999999999999986</v>
          </cell>
          <cell r="DI40">
            <v>-12</v>
          </cell>
          <cell r="DJ40">
            <v>-6.68</v>
          </cell>
          <cell r="DK40">
            <v>8</v>
          </cell>
        </row>
        <row r="41">
          <cell r="C41" t="str">
            <v>МАМОНТОВСКОЕ</v>
          </cell>
          <cell r="D41" t="str">
            <v>6385</v>
          </cell>
          <cell r="F41" t="str">
            <v xml:space="preserve">  73</v>
          </cell>
          <cell r="G41" t="str">
            <v>9.9</v>
          </cell>
          <cell r="M41">
            <v>74.406000000000006</v>
          </cell>
          <cell r="N41">
            <v>1871</v>
          </cell>
          <cell r="O41">
            <v>15.611000000000001</v>
          </cell>
          <cell r="P41">
            <v>48</v>
          </cell>
          <cell r="Q41">
            <v>63</v>
          </cell>
          <cell r="Z41">
            <v>75.807000000000002</v>
          </cell>
          <cell r="AA41">
            <v>1866</v>
          </cell>
          <cell r="AB41">
            <v>14.961</v>
          </cell>
          <cell r="AC41">
            <v>46</v>
          </cell>
          <cell r="AD41">
            <v>63</v>
          </cell>
          <cell r="CN41">
            <v>77.126000000000005</v>
          </cell>
          <cell r="CO41">
            <v>1854</v>
          </cell>
          <cell r="CP41">
            <v>11.154999999999999</v>
          </cell>
          <cell r="CQ41">
            <v>49</v>
          </cell>
          <cell r="CR41">
            <v>74.099999999999994</v>
          </cell>
          <cell r="CS41">
            <v>-2</v>
          </cell>
          <cell r="CT41">
            <v>-0.65000000000000036</v>
          </cell>
          <cell r="DD41">
            <v>0</v>
          </cell>
          <cell r="DF41">
            <v>3</v>
          </cell>
          <cell r="DG41">
            <v>-3.8060000000000009</v>
          </cell>
          <cell r="DH41">
            <v>11.099999999999994</v>
          </cell>
          <cell r="DI41">
            <v>1</v>
          </cell>
          <cell r="DJ41">
            <v>-4.4560000000000013</v>
          </cell>
          <cell r="DK41">
            <v>11.099999999999994</v>
          </cell>
        </row>
        <row r="42">
          <cell r="C42" t="str">
            <v>МАМОНТОВСКОЕ</v>
          </cell>
          <cell r="D42" t="str">
            <v>6973</v>
          </cell>
          <cell r="F42" t="str">
            <v xml:space="preserve">  308</v>
          </cell>
          <cell r="G42" t="str">
            <v>81.10</v>
          </cell>
          <cell r="M42">
            <v>110.143</v>
          </cell>
          <cell r="N42">
            <v>1523</v>
          </cell>
          <cell r="O42">
            <v>11.038</v>
          </cell>
          <cell r="P42">
            <v>50.4</v>
          </cell>
          <cell r="Q42">
            <v>75</v>
          </cell>
          <cell r="Z42">
            <v>112.48100000000001</v>
          </cell>
          <cell r="AA42">
            <v>1496</v>
          </cell>
          <cell r="AB42">
            <v>10.95</v>
          </cell>
          <cell r="AC42">
            <v>50</v>
          </cell>
          <cell r="AD42">
            <v>75</v>
          </cell>
          <cell r="CN42">
            <v>117.28400000000001</v>
          </cell>
          <cell r="CO42">
            <v>1445</v>
          </cell>
          <cell r="CP42">
            <v>6.85</v>
          </cell>
          <cell r="CQ42">
            <v>46</v>
          </cell>
          <cell r="CR42">
            <v>83</v>
          </cell>
          <cell r="CS42">
            <v>-0.39999999999999858</v>
          </cell>
          <cell r="CT42">
            <v>-8.8000000000000966E-2</v>
          </cell>
          <cell r="DD42">
            <v>0</v>
          </cell>
          <cell r="DF42">
            <v>-4</v>
          </cell>
          <cell r="DG42">
            <v>-4.0999999999999996</v>
          </cell>
          <cell r="DH42">
            <v>8</v>
          </cell>
          <cell r="DI42">
            <v>-4.3999999999999986</v>
          </cell>
          <cell r="DJ42">
            <v>-4.1880000000000006</v>
          </cell>
          <cell r="DK42">
            <v>8</v>
          </cell>
        </row>
        <row r="43">
          <cell r="C43" t="str">
            <v>МАМОНТОВСКОЕ</v>
          </cell>
          <cell r="D43" t="str">
            <v>7286</v>
          </cell>
          <cell r="F43" t="str">
            <v xml:space="preserve">  502</v>
          </cell>
          <cell r="G43" t="str">
            <v>41.8</v>
          </cell>
          <cell r="M43">
            <v>63.387</v>
          </cell>
          <cell r="N43">
            <v>1611</v>
          </cell>
          <cell r="O43">
            <v>47.465000000000003</v>
          </cell>
          <cell r="P43">
            <v>102</v>
          </cell>
          <cell r="Q43">
            <v>47</v>
          </cell>
          <cell r="Z43">
            <v>147.51</v>
          </cell>
          <cell r="AA43">
            <v>440</v>
          </cell>
          <cell r="AB43">
            <v>38.193000000000005</v>
          </cell>
          <cell r="AC43">
            <v>174</v>
          </cell>
          <cell r="AD43">
            <v>75</v>
          </cell>
          <cell r="CN43">
            <v>189.86700000000002</v>
          </cell>
          <cell r="CO43">
            <v>1</v>
          </cell>
          <cell r="CP43">
            <v>19.316000000000003</v>
          </cell>
          <cell r="CQ43">
            <v>200</v>
          </cell>
          <cell r="CR43">
            <v>89</v>
          </cell>
          <cell r="CS43">
            <v>72</v>
          </cell>
          <cell r="CT43">
            <v>-9.2719999999999985</v>
          </cell>
          <cell r="DD43">
            <v>28</v>
          </cell>
          <cell r="DF43">
            <v>26</v>
          </cell>
          <cell r="DG43">
            <v>-18.877000000000002</v>
          </cell>
          <cell r="DH43">
            <v>14</v>
          </cell>
          <cell r="DI43">
            <v>98</v>
          </cell>
          <cell r="DJ43">
            <v>-28.149000000000001</v>
          </cell>
          <cell r="DK43">
            <v>42</v>
          </cell>
        </row>
        <row r="44">
          <cell r="C44" t="str">
            <v>МАМОНТОВСКОЕ</v>
          </cell>
          <cell r="D44" t="str">
            <v>7331</v>
          </cell>
          <cell r="F44" t="str">
            <v xml:space="preserve">  406</v>
          </cell>
          <cell r="G44" t="str">
            <v>41.2</v>
          </cell>
          <cell r="M44">
            <v>61.85</v>
          </cell>
          <cell r="N44">
            <v>1600</v>
          </cell>
          <cell r="O44">
            <v>2.8970000000000002</v>
          </cell>
          <cell r="P44">
            <v>11</v>
          </cell>
          <cell r="Q44">
            <v>70</v>
          </cell>
          <cell r="Z44">
            <v>43.184000000000005</v>
          </cell>
          <cell r="AA44">
            <v>1600</v>
          </cell>
          <cell r="AB44">
            <v>4.3070000000000004</v>
          </cell>
          <cell r="AC44">
            <v>11</v>
          </cell>
          <cell r="AD44">
            <v>55.4</v>
          </cell>
          <cell r="CN44">
            <v>90.416000000000011</v>
          </cell>
          <cell r="CO44">
            <v>1000</v>
          </cell>
          <cell r="CP44">
            <v>2.8970000000000002</v>
          </cell>
          <cell r="CQ44">
            <v>11</v>
          </cell>
          <cell r="CR44">
            <v>70</v>
          </cell>
          <cell r="CS44">
            <v>0</v>
          </cell>
          <cell r="CT44">
            <v>1.4100000000000001</v>
          </cell>
          <cell r="DD44">
            <v>-14.600000000000001</v>
          </cell>
          <cell r="DF44">
            <v>0</v>
          </cell>
          <cell r="DG44">
            <v>-1.4100000000000001</v>
          </cell>
          <cell r="DH44">
            <v>14.600000000000001</v>
          </cell>
          <cell r="DI44">
            <v>0</v>
          </cell>
          <cell r="DJ44">
            <v>0</v>
          </cell>
          <cell r="DK44">
            <v>0</v>
          </cell>
        </row>
        <row r="45">
          <cell r="C45" t="str">
            <v>МАМОНТОВСКОЕ</v>
          </cell>
          <cell r="D45" t="str">
            <v>7370</v>
          </cell>
          <cell r="F45" t="str">
            <v xml:space="preserve">  458</v>
          </cell>
          <cell r="G45" t="str">
            <v>41.5</v>
          </cell>
          <cell r="M45">
            <v>78.998000000000005</v>
          </cell>
          <cell r="N45">
            <v>1325</v>
          </cell>
          <cell r="O45">
            <v>3.7320000000000002</v>
          </cell>
          <cell r="P45">
            <v>17</v>
          </cell>
          <cell r="Q45">
            <v>75</v>
          </cell>
          <cell r="Z45">
            <v>79.08</v>
          </cell>
          <cell r="AA45">
            <v>1325</v>
          </cell>
          <cell r="AB45">
            <v>3.6349999999999998</v>
          </cell>
          <cell r="AC45">
            <v>12</v>
          </cell>
          <cell r="AD45">
            <v>65.5</v>
          </cell>
          <cell r="CN45">
            <v>86.328000000000003</v>
          </cell>
          <cell r="CO45">
            <v>1240</v>
          </cell>
          <cell r="CP45">
            <v>2.6340000000000003</v>
          </cell>
          <cell r="CQ45">
            <v>12</v>
          </cell>
          <cell r="CR45">
            <v>75</v>
          </cell>
          <cell r="CS45">
            <v>-5</v>
          </cell>
          <cell r="CT45">
            <v>-9.7000000000000419E-2</v>
          </cell>
          <cell r="DD45">
            <v>-9.5</v>
          </cell>
          <cell r="DF45">
            <v>0</v>
          </cell>
          <cell r="DG45">
            <v>-1.0009999999999994</v>
          </cell>
          <cell r="DH45">
            <v>9.5</v>
          </cell>
          <cell r="DI45">
            <v>-5</v>
          </cell>
          <cell r="DJ45">
            <v>-1.0979999999999999</v>
          </cell>
          <cell r="DK45">
            <v>0</v>
          </cell>
        </row>
        <row r="46">
          <cell r="C46" t="str">
            <v>МАМОНТОВСКОЕ</v>
          </cell>
          <cell r="D46" t="str">
            <v>8126</v>
          </cell>
          <cell r="F46" t="str">
            <v xml:space="preserve">  1089</v>
          </cell>
          <cell r="G46" t="str">
            <v>41.7</v>
          </cell>
          <cell r="M46">
            <v>70.811999999999998</v>
          </cell>
          <cell r="N46">
            <v>1280</v>
          </cell>
          <cell r="O46">
            <v>31.362000000000002</v>
          </cell>
          <cell r="P46">
            <v>76</v>
          </cell>
          <cell r="Q46">
            <v>53</v>
          </cell>
          <cell r="Z46">
            <v>71.271000000000001</v>
          </cell>
          <cell r="AA46">
            <v>1262</v>
          </cell>
          <cell r="AB46">
            <v>27.648</v>
          </cell>
          <cell r="AC46">
            <v>67</v>
          </cell>
          <cell r="AD46">
            <v>53</v>
          </cell>
          <cell r="CN46">
            <v>72.326999999999998</v>
          </cell>
          <cell r="CO46">
            <v>1252</v>
          </cell>
          <cell r="CP46">
            <v>19.123000000000001</v>
          </cell>
          <cell r="CQ46">
            <v>66</v>
          </cell>
          <cell r="CR46">
            <v>67</v>
          </cell>
          <cell r="CS46">
            <v>-9</v>
          </cell>
          <cell r="CT46">
            <v>-3.7140000000000022</v>
          </cell>
          <cell r="DD46">
            <v>0</v>
          </cell>
          <cell r="DF46">
            <v>-1</v>
          </cell>
          <cell r="DG46">
            <v>-8.5249999999999986</v>
          </cell>
          <cell r="DH46">
            <v>14</v>
          </cell>
          <cell r="DI46">
            <v>-10</v>
          </cell>
          <cell r="DJ46">
            <v>-12.239000000000001</v>
          </cell>
          <cell r="DK46">
            <v>14</v>
          </cell>
        </row>
        <row r="47">
          <cell r="C47" t="str">
            <v>ТЕПЛОВСКОЕ</v>
          </cell>
          <cell r="D47" t="str">
            <v>434Б</v>
          </cell>
          <cell r="F47" t="str">
            <v xml:space="preserve">  39</v>
          </cell>
          <cell r="G47" t="str">
            <v>8.5</v>
          </cell>
          <cell r="M47">
            <v>78.51100000000001</v>
          </cell>
          <cell r="N47">
            <v>1552</v>
          </cell>
          <cell r="O47">
            <v>6.2930000000000001</v>
          </cell>
          <cell r="P47">
            <v>24</v>
          </cell>
          <cell r="Q47">
            <v>70</v>
          </cell>
          <cell r="AB47">
            <v>10.619</v>
          </cell>
          <cell r="AC47">
            <v>45</v>
          </cell>
          <cell r="AD47">
            <v>73</v>
          </cell>
          <cell r="CN47">
            <v>63.956000000000003</v>
          </cell>
          <cell r="CO47">
            <v>1721</v>
          </cell>
          <cell r="CP47">
            <v>6.9220000000000006</v>
          </cell>
          <cell r="CQ47">
            <v>44</v>
          </cell>
          <cell r="CR47">
            <v>82</v>
          </cell>
          <cell r="CS47">
            <v>21</v>
          </cell>
          <cell r="CT47">
            <v>4.3259999999999996</v>
          </cell>
          <cell r="DD47">
            <v>3</v>
          </cell>
          <cell r="DF47">
            <v>-1</v>
          </cell>
          <cell r="DG47">
            <v>-3.6969999999999992</v>
          </cell>
          <cell r="DH47">
            <v>9</v>
          </cell>
          <cell r="DI47">
            <v>20</v>
          </cell>
          <cell r="DJ47">
            <v>0.62900000000000045</v>
          </cell>
          <cell r="DK47">
            <v>12</v>
          </cell>
        </row>
        <row r="49">
          <cell r="C49" t="str">
            <v>ПОТЕРИ</v>
          </cell>
          <cell r="CS49">
            <v>99.6</v>
          </cell>
          <cell r="CT49">
            <v>-12.791999999999998</v>
          </cell>
          <cell r="CU49">
            <v>0</v>
          </cell>
          <cell r="CV49">
            <v>0</v>
          </cell>
          <cell r="CW49">
            <v>0</v>
          </cell>
          <cell r="CX49">
            <v>0</v>
          </cell>
          <cell r="CY49">
            <v>0</v>
          </cell>
          <cell r="CZ49">
            <v>0</v>
          </cell>
          <cell r="DA49">
            <v>0</v>
          </cell>
          <cell r="DB49">
            <v>0</v>
          </cell>
          <cell r="DC49">
            <v>0</v>
          </cell>
          <cell r="DD49">
            <v>1.3999999999999986</v>
          </cell>
          <cell r="DF49">
            <v>-22</v>
          </cell>
          <cell r="DG49">
            <v>-85.13</v>
          </cell>
          <cell r="DH49">
            <v>103.69999999999999</v>
          </cell>
          <cell r="DI49">
            <v>77.599999999999994</v>
          </cell>
          <cell r="DJ49">
            <v>-97.921999999999997</v>
          </cell>
          <cell r="DK49">
            <v>105.1</v>
          </cell>
        </row>
        <row r="51">
          <cell r="C51" t="str">
            <v>ИТОГО ПОТЕРИ</v>
          </cell>
          <cell r="CS51">
            <v>212.6</v>
          </cell>
          <cell r="CT51">
            <v>65.623999999999995</v>
          </cell>
          <cell r="CU51">
            <v>0</v>
          </cell>
          <cell r="CV51">
            <v>0</v>
          </cell>
          <cell r="CW51">
            <v>0</v>
          </cell>
          <cell r="CX51">
            <v>0</v>
          </cell>
          <cell r="CY51">
            <v>0</v>
          </cell>
          <cell r="CZ51">
            <v>0</v>
          </cell>
          <cell r="DA51">
            <v>0</v>
          </cell>
          <cell r="DB51">
            <v>0</v>
          </cell>
          <cell r="DC51">
            <v>0</v>
          </cell>
          <cell r="DD51">
            <v>5.5999999999999908</v>
          </cell>
          <cell r="DF51">
            <v>-895</v>
          </cell>
          <cell r="DG51">
            <v>-202.779</v>
          </cell>
          <cell r="DH51">
            <v>111.39999999999999</v>
          </cell>
          <cell r="DI51">
            <v>-682.4</v>
          </cell>
          <cell r="DJ51">
            <v>-137.15500000000003</v>
          </cell>
          <cell r="DK51">
            <v>116.99999999999999</v>
          </cell>
        </row>
      </sheetData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in"/>
      <sheetName val="JOE(для нов скв)"/>
      <sheetName val="основной"/>
      <sheetName val="через kh"/>
      <sheetName val="gas correction factor"/>
      <sheetName val="JOE_для нов скв_"/>
      <sheetName val="JOE(для_нов_скв)"/>
      <sheetName val="через_kh"/>
      <sheetName val="gas_correction_factor"/>
      <sheetName val="JOE_для_нов_скв_"/>
      <sheetName val="Groupings"/>
      <sheetName val="Расчёт потенциала"/>
      <sheetName val="ПДР ООО &quot;Юкос ФБЦ&quot;"/>
      <sheetName val="Справочник"/>
      <sheetName val="Лист2"/>
      <sheetName val="Справочник ЭЦН"/>
      <sheetName val="Справочник по пластам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ЦН"/>
      <sheetName val="4010(calc)"/>
      <sheetName val="4010_calc_"/>
      <sheetName val="Протокол"/>
      <sheetName val="apvs_template"/>
      <sheetName val="Снижение производительности"/>
      <sheetName val="Свод"/>
    </sheetNames>
    <sheetDataSet>
      <sheetData sheetId="0" refreshError="1"/>
      <sheetData sheetId="1" refreshError="1">
        <row r="10">
          <cell r="M10">
            <v>431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"/>
      <sheetName val="Изм.Кпр"/>
      <sheetName val="Анализ динамики"/>
      <sheetName val="Мероприятия на октябрь "/>
      <sheetName val="Мероприятия за сентябрь"/>
      <sheetName val="Запуски-остановы"/>
      <sheetName val="стат.па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ents"/>
      <sheetName val="SUMMARY by field"/>
      <sheetName val="Analysis Summary"/>
      <sheetName val="welldata frac analysis"/>
      <sheetName val="graph Xplot"/>
      <sheetName val="pivot summary"/>
      <sheetName val="Шаблон"/>
      <sheetName val=""/>
      <sheetName val="Лист2"/>
      <sheetName val="Лист1"/>
      <sheetName val="SUMMARY_by_field"/>
      <sheetName val="Analysis_Summary"/>
      <sheetName val="welldata_frac_analysis"/>
      <sheetName val="graph_Xplot"/>
      <sheetName val="pivot_summary"/>
      <sheetName val="СКО"/>
      <sheetName val="Glossaryx"/>
      <sheetName val="lim"/>
      <sheetName val="СтрЗапасов (2)"/>
      <sheetName val="sapactivexlhiddensheet"/>
      <sheetName val="Накопит."/>
      <sheetName val="Остановл."/>
    </sheetNames>
    <sheetDataSet>
      <sheetData sheetId="0" refreshError="1"/>
      <sheetData sheetId="1" refreshError="1"/>
      <sheetData sheetId="2" refreshError="1"/>
      <sheetData sheetId="3" refreshError="1">
        <row r="10">
          <cell r="C10" t="str">
            <v>Malo-Balik!1050</v>
          </cell>
          <cell r="E10" t="str">
            <v>1050</v>
          </cell>
          <cell r="F10">
            <v>2946.6</v>
          </cell>
          <cell r="G10">
            <v>36763</v>
          </cell>
          <cell r="H10">
            <v>240</v>
          </cell>
          <cell r="I10">
            <v>144</v>
          </cell>
          <cell r="J10" t="str">
            <v/>
          </cell>
          <cell r="M10" t="str">
            <v/>
          </cell>
          <cell r="O10" t="str">
            <v/>
          </cell>
          <cell r="P10">
            <v>0</v>
          </cell>
          <cell r="Q10">
            <v>0.10371655076146463</v>
          </cell>
          <cell r="R10" t="str">
            <v/>
          </cell>
          <cell r="S10">
            <v>0.10371655076146463</v>
          </cell>
          <cell r="T10">
            <v>24.299999999999997</v>
          </cell>
          <cell r="U10" t="str">
            <v>New</v>
          </cell>
          <cell r="X10">
            <v>39</v>
          </cell>
          <cell r="Y10">
            <v>0.52769999999999995</v>
          </cell>
          <cell r="Z10">
            <v>-5.6836809318835551</v>
          </cell>
          <cell r="AA10">
            <v>-5.28416</v>
          </cell>
          <cell r="AB10">
            <v>-5.1529261629949108</v>
          </cell>
          <cell r="AC10" t="str">
            <v>BS-18-20,99</v>
          </cell>
          <cell r="AE10">
            <v>31</v>
          </cell>
          <cell r="AF10" t="str">
            <v>20/40</v>
          </cell>
          <cell r="AG10">
            <v>16.2</v>
          </cell>
          <cell r="AH10">
            <v>91.5</v>
          </cell>
          <cell r="AI10">
            <v>250</v>
          </cell>
          <cell r="AJ10">
            <v>1420.7503615122207</v>
          </cell>
          <cell r="AK10">
            <v>1</v>
          </cell>
          <cell r="AL10" t="str">
            <v>1:-5.28416!20.14719</v>
          </cell>
          <cell r="AM10">
            <v>1</v>
          </cell>
          <cell r="AN10">
            <v>-5.28416</v>
          </cell>
          <cell r="AO10">
            <v>12.485249156644775</v>
          </cell>
          <cell r="AP10">
            <v>20.147189999999998</v>
          </cell>
          <cell r="AQ10">
            <v>24.299999999999997</v>
          </cell>
          <cell r="AR10">
            <v>3.2768058852950772</v>
          </cell>
          <cell r="AS10" t="str">
            <v/>
          </cell>
          <cell r="AT10">
            <v>0</v>
          </cell>
          <cell r="AU10" t="str">
            <v/>
          </cell>
          <cell r="AV10">
            <v>0</v>
          </cell>
          <cell r="AW10" t="str">
            <v>Prefrac  kh estimate acceptable</v>
          </cell>
          <cell r="AX10" t="str">
            <v>Cyclic work</v>
          </cell>
          <cell r="AY10">
            <v>24.299999999999997</v>
          </cell>
        </row>
        <row r="11">
          <cell r="C11" t="str">
            <v>Malo-Balik!1316</v>
          </cell>
          <cell r="E11" t="str">
            <v>1316</v>
          </cell>
          <cell r="F11">
            <v>2777.1</v>
          </cell>
          <cell r="G11">
            <v>36838</v>
          </cell>
          <cell r="H11">
            <v>278</v>
          </cell>
          <cell r="I11">
            <v>144</v>
          </cell>
          <cell r="J11" t="str">
            <v/>
          </cell>
          <cell r="M11" t="str">
            <v/>
          </cell>
          <cell r="O11" t="str">
            <v/>
          </cell>
          <cell r="P11">
            <v>0</v>
          </cell>
          <cell r="Q11">
            <v>7.1705269662247162E-2</v>
          </cell>
          <cell r="R11" t="str">
            <v/>
          </cell>
          <cell r="S11">
            <v>7.1705269662247162E-2</v>
          </cell>
          <cell r="T11">
            <v>16.8</v>
          </cell>
          <cell r="U11" t="str">
            <v>Old</v>
          </cell>
          <cell r="X11">
            <v>29.33</v>
          </cell>
          <cell r="Y11">
            <v>0.2535</v>
          </cell>
          <cell r="Z11">
            <v>-5.0730741102188386</v>
          </cell>
          <cell r="AA11">
            <v>-4.18424</v>
          </cell>
          <cell r="AB11">
            <v>-5.2884862874981842</v>
          </cell>
          <cell r="AC11" t="str">
            <v>BS-18-20,100</v>
          </cell>
          <cell r="AE11">
            <v>23.33</v>
          </cell>
          <cell r="AF11" t="str">
            <v>16/30</v>
          </cell>
          <cell r="AG11">
            <v>16.8</v>
          </cell>
          <cell r="AH11">
            <v>96.1</v>
          </cell>
          <cell r="AI11">
            <v>420</v>
          </cell>
          <cell r="AJ11">
            <v>1649.2387911143283</v>
          </cell>
          <cell r="AK11">
            <v>1</v>
          </cell>
          <cell r="AL11" t="str">
            <v>0.03659:-4.18424!16.80000</v>
          </cell>
          <cell r="AM11">
            <v>3.6589999999999998E-2</v>
          </cell>
          <cell r="AN11">
            <v>-4.18424</v>
          </cell>
          <cell r="AO11">
            <v>0.62794638258973223</v>
          </cell>
          <cell r="AP11">
            <v>16.8</v>
          </cell>
          <cell r="AQ11">
            <v>16.8</v>
          </cell>
          <cell r="AR11">
            <v>2.4479311013544982</v>
          </cell>
          <cell r="AS11" t="str">
            <v/>
          </cell>
          <cell r="AT11">
            <v>0</v>
          </cell>
          <cell r="AU11" t="str">
            <v/>
          </cell>
          <cell r="AV11">
            <v>1</v>
          </cell>
          <cell r="AW11" t="str">
            <v>PROBLEM FRAC possible? KH prefrac Estimate is at least 50% higher than for a perfect frac</v>
          </cell>
          <cell r="AY11">
            <v>16.8</v>
          </cell>
        </row>
        <row r="12">
          <cell r="C12" t="str">
            <v>Malo-Balik!3064</v>
          </cell>
          <cell r="E12" t="str">
            <v>3064</v>
          </cell>
          <cell r="F12">
            <v>2804.25</v>
          </cell>
          <cell r="G12">
            <v>36642</v>
          </cell>
          <cell r="H12">
            <v>258.30527319999999</v>
          </cell>
          <cell r="I12">
            <v>144</v>
          </cell>
          <cell r="J12" t="str">
            <v/>
          </cell>
          <cell r="M12" t="str">
            <v/>
          </cell>
          <cell r="O12" t="str">
            <v/>
          </cell>
          <cell r="P12">
            <v>0</v>
          </cell>
          <cell r="Q12">
            <v>0.3482827383594862</v>
          </cell>
          <cell r="R12" t="str">
            <v/>
          </cell>
          <cell r="S12">
            <v>0.3482827383594862</v>
          </cell>
          <cell r="T12">
            <v>81.59999999999998</v>
          </cell>
          <cell r="U12" t="str">
            <v>New</v>
          </cell>
          <cell r="X12">
            <v>29.67</v>
          </cell>
          <cell r="Y12">
            <v>0.28000000000000003</v>
          </cell>
          <cell r="Z12">
            <v>1.7251258317938101</v>
          </cell>
          <cell r="AA12">
            <v>0</v>
          </cell>
          <cell r="AB12">
            <v>-5.0032182741918962</v>
          </cell>
          <cell r="AC12" t="str">
            <v>BS-18-20,100</v>
          </cell>
          <cell r="AE12">
            <v>46.4</v>
          </cell>
          <cell r="AF12" t="str">
            <v>16/30</v>
          </cell>
          <cell r="AG12">
            <v>27.2</v>
          </cell>
          <cell r="AH12">
            <v>77.099999999999994</v>
          </cell>
          <cell r="AI12">
            <v>420</v>
          </cell>
          <cell r="AJ12">
            <v>2747.4200642869228</v>
          </cell>
          <cell r="AK12">
            <v>1</v>
          </cell>
          <cell r="AL12" t="str">
            <v>0.00000:0.00000!81.60000</v>
          </cell>
          <cell r="AM12">
            <v>0</v>
          </cell>
          <cell r="AN12">
            <v>0</v>
          </cell>
          <cell r="AO12">
            <v>0</v>
          </cell>
          <cell r="AP12">
            <v>81.599999999999994</v>
          </cell>
          <cell r="AQ12">
            <v>81.59999999999998</v>
          </cell>
          <cell r="AR12">
            <v>0.99999999999999967</v>
          </cell>
          <cell r="AS12" t="str">
            <v/>
          </cell>
          <cell r="AT12">
            <v>0</v>
          </cell>
          <cell r="AU12" t="str">
            <v/>
          </cell>
          <cell r="AV12">
            <v>1</v>
          </cell>
          <cell r="AW12" t="str">
            <v>PROBLEM FRAC possible? KH prefrac Estimate is at least 50% higher than for a perfect frac</v>
          </cell>
          <cell r="AY12">
            <v>81.599999999999994</v>
          </cell>
        </row>
        <row r="13">
          <cell r="C13" t="str">
            <v>Malo-Balik!3065</v>
          </cell>
          <cell r="E13" t="str">
            <v>3065</v>
          </cell>
          <cell r="F13">
            <v>2809.8</v>
          </cell>
          <cell r="G13">
            <v>36775</v>
          </cell>
          <cell r="H13">
            <v>250</v>
          </cell>
          <cell r="I13">
            <v>144</v>
          </cell>
          <cell r="J13" t="str">
            <v/>
          </cell>
          <cell r="M13" t="str">
            <v/>
          </cell>
          <cell r="O13" t="str">
            <v/>
          </cell>
          <cell r="P13">
            <v>0</v>
          </cell>
          <cell r="Q13">
            <v>0.13060602688480732</v>
          </cell>
          <cell r="R13" t="str">
            <v/>
          </cell>
          <cell r="S13">
            <v>0.13060602688480732</v>
          </cell>
          <cell r="T13">
            <v>30.6</v>
          </cell>
          <cell r="U13" t="str">
            <v>New</v>
          </cell>
          <cell r="X13">
            <v>34</v>
          </cell>
          <cell r="Y13">
            <v>0.62070000000000003</v>
          </cell>
          <cell r="Z13">
            <v>-5.5855442491706775</v>
          </cell>
          <cell r="AA13">
            <v>-5.1395999999999997</v>
          </cell>
          <cell r="AB13">
            <v>-5.0362655923735158</v>
          </cell>
          <cell r="AC13" t="str">
            <v>BS-18-20,100</v>
          </cell>
          <cell r="AE13">
            <v>36.064</v>
          </cell>
          <cell r="AF13" t="str">
            <v>20/40</v>
          </cell>
          <cell r="AG13">
            <v>20.399999999999999</v>
          </cell>
          <cell r="AH13">
            <v>75.900000000000006</v>
          </cell>
          <cell r="AI13">
            <v>250</v>
          </cell>
          <cell r="AJ13">
            <v>1582.3193572554187</v>
          </cell>
          <cell r="AK13">
            <v>1</v>
          </cell>
          <cell r="AL13" t="str">
            <v>1:-5.13960!24.88715</v>
          </cell>
          <cell r="AM13">
            <v>1</v>
          </cell>
          <cell r="AN13">
            <v>-5.1395999999999997</v>
          </cell>
          <cell r="AO13">
            <v>17.088634744409145</v>
          </cell>
          <cell r="AP13">
            <v>24.887149999999998</v>
          </cell>
          <cell r="AQ13">
            <v>30.6</v>
          </cell>
          <cell r="AR13">
            <v>2.974164638659667</v>
          </cell>
          <cell r="AS13" t="str">
            <v/>
          </cell>
          <cell r="AT13">
            <v>0</v>
          </cell>
          <cell r="AU13" t="str">
            <v/>
          </cell>
          <cell r="AV13">
            <v>0</v>
          </cell>
          <cell r="AW13" t="str">
            <v>Prefrac  kh estimate acceptable</v>
          </cell>
          <cell r="AY13">
            <v>30.6</v>
          </cell>
        </row>
        <row r="14">
          <cell r="C14" t="str">
            <v>Malo-Balik!3066</v>
          </cell>
          <cell r="E14" t="str">
            <v>3066</v>
          </cell>
          <cell r="F14">
            <v>2873</v>
          </cell>
          <cell r="G14">
            <v>36788</v>
          </cell>
          <cell r="H14">
            <v>270</v>
          </cell>
          <cell r="I14">
            <v>144</v>
          </cell>
          <cell r="J14" t="str">
            <v/>
          </cell>
          <cell r="M14" t="str">
            <v/>
          </cell>
          <cell r="O14" t="str">
            <v/>
          </cell>
          <cell r="P14">
            <v>0</v>
          </cell>
          <cell r="Q14">
            <v>5.890075722256017E-2</v>
          </cell>
          <cell r="R14" t="str">
            <v/>
          </cell>
          <cell r="S14">
            <v>5.890075722256017E-2</v>
          </cell>
          <cell r="T14">
            <v>13.8</v>
          </cell>
          <cell r="U14" t="str">
            <v>Old</v>
          </cell>
          <cell r="X14">
            <v>28</v>
          </cell>
          <cell r="Y14">
            <v>0.23230000000000001</v>
          </cell>
          <cell r="Z14">
            <v>-5.2803883842240626</v>
          </cell>
          <cell r="AA14">
            <v>-5.0147399999999998</v>
          </cell>
          <cell r="AB14">
            <v>-4.9730395654925026</v>
          </cell>
          <cell r="AC14" t="str">
            <v>BS-18-20,99</v>
          </cell>
          <cell r="AE14">
            <v>34.177999999999997</v>
          </cell>
          <cell r="AF14" t="str">
            <v>20/40</v>
          </cell>
          <cell r="AG14">
            <v>9.1999999999999993</v>
          </cell>
          <cell r="AH14">
            <v>62.5</v>
          </cell>
          <cell r="AI14">
            <v>250</v>
          </cell>
          <cell r="AJ14">
            <v>4038.04347826087</v>
          </cell>
          <cell r="AK14">
            <v>1</v>
          </cell>
          <cell r="AL14" t="str">
            <v>1:-5.01474!8.68578</v>
          </cell>
          <cell r="AM14">
            <v>1</v>
          </cell>
          <cell r="AN14">
            <v>-5.0147399999999998</v>
          </cell>
          <cell r="AO14">
            <v>68.433692771403386</v>
          </cell>
          <cell r="AP14">
            <v>8.6857799999999994</v>
          </cell>
          <cell r="AQ14">
            <v>13.8</v>
          </cell>
          <cell r="AR14">
            <v>2.1621047539716272</v>
          </cell>
          <cell r="AS14" t="str">
            <v/>
          </cell>
          <cell r="AT14">
            <v>0</v>
          </cell>
          <cell r="AU14" t="str">
            <v/>
          </cell>
          <cell r="AV14">
            <v>0</v>
          </cell>
          <cell r="AW14" t="str">
            <v>Prefrac  kh estimate acceptable</v>
          </cell>
          <cell r="AY14">
            <v>13.8</v>
          </cell>
        </row>
        <row r="15">
          <cell r="C15" t="str">
            <v>Malo-Balik!3067</v>
          </cell>
          <cell r="E15" t="str">
            <v>3067</v>
          </cell>
          <cell r="F15">
            <v>2793.3</v>
          </cell>
          <cell r="G15">
            <v>36678</v>
          </cell>
          <cell r="H15">
            <v>275.8750488</v>
          </cell>
          <cell r="I15">
            <v>144</v>
          </cell>
          <cell r="J15" t="str">
            <v/>
          </cell>
          <cell r="M15" t="str">
            <v/>
          </cell>
          <cell r="O15" t="str">
            <v/>
          </cell>
          <cell r="P15">
            <v>0</v>
          </cell>
          <cell r="Q15">
            <v>0.14084963683655694</v>
          </cell>
          <cell r="R15" t="str">
            <v/>
          </cell>
          <cell r="S15">
            <v>0.14084963683655694</v>
          </cell>
          <cell r="T15">
            <v>33.000000000000007</v>
          </cell>
          <cell r="U15" t="str">
            <v>New</v>
          </cell>
          <cell r="X15">
            <v>33</v>
          </cell>
          <cell r="Y15">
            <v>0.38950000000000001</v>
          </cell>
          <cell r="Z15">
            <v>-4.5159540683808022</v>
          </cell>
          <cell r="AA15">
            <v>-3.81839</v>
          </cell>
          <cell r="AB15">
            <v>-5.1256165098699942</v>
          </cell>
          <cell r="AC15" t="str">
            <v>BS-16-20,100</v>
          </cell>
          <cell r="AE15">
            <v>45.9</v>
          </cell>
          <cell r="AF15" t="str">
            <v>16/30</v>
          </cell>
          <cell r="AG15">
            <v>22</v>
          </cell>
          <cell r="AH15">
            <v>76.2</v>
          </cell>
          <cell r="AI15">
            <v>420</v>
          </cell>
          <cell r="AJ15">
            <v>3124.9027419003451</v>
          </cell>
          <cell r="AK15">
            <v>1</v>
          </cell>
          <cell r="AL15" t="str">
            <v>0.01912:-3.81839!33.00000</v>
          </cell>
          <cell r="AM15">
            <v>1.9120000000000002E-2</v>
          </cell>
          <cell r="AN15">
            <v>-3.81839</v>
          </cell>
          <cell r="AO15">
            <v>0.52273088735900786</v>
          </cell>
          <cell r="AP15">
            <v>33</v>
          </cell>
          <cell r="AQ15">
            <v>33.000000000000007</v>
          </cell>
          <cell r="AR15">
            <v>2.1728481102632524</v>
          </cell>
          <cell r="AS15" t="str">
            <v/>
          </cell>
          <cell r="AT15">
            <v>0</v>
          </cell>
          <cell r="AU15" t="str">
            <v/>
          </cell>
          <cell r="AV15">
            <v>1</v>
          </cell>
          <cell r="AW15" t="str">
            <v>PROBLEM FRAC possible? KH prefrac Estimate is at least 50% higher than for a perfect frac</v>
          </cell>
          <cell r="AY15">
            <v>33.000000000000007</v>
          </cell>
        </row>
        <row r="16">
          <cell r="C16" t="str">
            <v>Malo-Balik!3074</v>
          </cell>
          <cell r="E16" t="str">
            <v>3074</v>
          </cell>
          <cell r="F16">
            <v>2731.6</v>
          </cell>
          <cell r="G16">
            <v>36656</v>
          </cell>
          <cell r="H16">
            <v>227.3159824</v>
          </cell>
          <cell r="I16">
            <v>144</v>
          </cell>
          <cell r="J16" t="str">
            <v/>
          </cell>
          <cell r="M16" t="str">
            <v/>
          </cell>
          <cell r="O16" t="str">
            <v/>
          </cell>
          <cell r="P16">
            <v>0</v>
          </cell>
          <cell r="Q16">
            <v>0.29450378611280087</v>
          </cell>
          <cell r="R16" t="str">
            <v/>
          </cell>
          <cell r="S16">
            <v>0.29450378611280087</v>
          </cell>
          <cell r="T16">
            <v>69</v>
          </cell>
          <cell r="U16" t="str">
            <v>New</v>
          </cell>
          <cell r="X16">
            <v>29.33</v>
          </cell>
          <cell r="Y16">
            <v>0.51</v>
          </cell>
          <cell r="Z16">
            <v>-2.9890786905948525</v>
          </cell>
          <cell r="AA16">
            <v>-2.5481799999999999</v>
          </cell>
          <cell r="AB16">
            <v>-5.1854330658492609</v>
          </cell>
          <cell r="AC16" t="str">
            <v>BS-18-20,100</v>
          </cell>
          <cell r="AE16">
            <v>47.01</v>
          </cell>
          <cell r="AF16" t="str">
            <v>16/30</v>
          </cell>
          <cell r="AG16">
            <v>23</v>
          </cell>
          <cell r="AH16">
            <v>108.2</v>
          </cell>
          <cell r="AI16">
            <v>420</v>
          </cell>
          <cell r="AJ16">
            <v>2155.9397810537789</v>
          </cell>
          <cell r="AK16">
            <v>1</v>
          </cell>
          <cell r="AL16" t="str">
            <v>0.01349:-2.54818!69.00000</v>
          </cell>
          <cell r="AM16">
            <v>1.349E-2</v>
          </cell>
          <cell r="AN16">
            <v>-2.5481799999999999</v>
          </cell>
          <cell r="AO16">
            <v>8.959835997047283E-2</v>
          </cell>
          <cell r="AP16">
            <v>69</v>
          </cell>
          <cell r="AQ16">
            <v>69</v>
          </cell>
          <cell r="AR16">
            <v>1.5630259477164423</v>
          </cell>
          <cell r="AS16" t="str">
            <v/>
          </cell>
          <cell r="AT16">
            <v>0</v>
          </cell>
          <cell r="AU16" t="str">
            <v/>
          </cell>
          <cell r="AV16">
            <v>1</v>
          </cell>
          <cell r="AW16" t="str">
            <v>PROBLEM FRAC possible? KH prefrac Estimate is at least 50% higher than for a perfect frac</v>
          </cell>
          <cell r="AY16">
            <v>69</v>
          </cell>
        </row>
        <row r="17">
          <cell r="C17" t="str">
            <v>Malo-Balik!3154</v>
          </cell>
          <cell r="E17" t="str">
            <v>3154</v>
          </cell>
          <cell r="F17">
            <v>2808.6</v>
          </cell>
          <cell r="G17">
            <v>36799</v>
          </cell>
          <cell r="H17">
            <v>220</v>
          </cell>
          <cell r="I17">
            <v>144</v>
          </cell>
          <cell r="J17" t="str">
            <v/>
          </cell>
          <cell r="M17" t="str">
            <v/>
          </cell>
          <cell r="O17" t="str">
            <v/>
          </cell>
          <cell r="P17">
            <v>0</v>
          </cell>
          <cell r="Q17">
            <v>0.1869458816194301</v>
          </cell>
          <cell r="R17" t="str">
            <v/>
          </cell>
          <cell r="S17">
            <v>0.1869458816194301</v>
          </cell>
          <cell r="T17">
            <v>43.8</v>
          </cell>
          <cell r="U17" t="str">
            <v>Old</v>
          </cell>
          <cell r="X17">
            <v>27.75</v>
          </cell>
          <cell r="Y17">
            <v>0.41639999999999999</v>
          </cell>
          <cell r="Z17">
            <v>-3.8981003621628663</v>
          </cell>
          <cell r="AA17">
            <v>-3.1720199999999998</v>
          </cell>
          <cell r="AB17">
            <v>-4.934800442699192</v>
          </cell>
          <cell r="AC17" t="str">
            <v>BS-18-20,100</v>
          </cell>
          <cell r="AE17">
            <v>38.884</v>
          </cell>
          <cell r="AF17" t="str">
            <v>16/30</v>
          </cell>
          <cell r="AG17">
            <v>29.2</v>
          </cell>
          <cell r="AH17">
            <v>62.7</v>
          </cell>
          <cell r="AI17">
            <v>420</v>
          </cell>
          <cell r="AJ17">
            <v>2831.1628874557937</v>
          </cell>
          <cell r="AK17">
            <v>1</v>
          </cell>
          <cell r="AL17" t="str">
            <v>0.01176:-3.17202!43.80000</v>
          </cell>
          <cell r="AM17">
            <v>1.176E-2</v>
          </cell>
          <cell r="AN17">
            <v>-3.1720199999999998</v>
          </cell>
          <cell r="AO17">
            <v>0.35400824621456811</v>
          </cell>
          <cell r="AP17">
            <v>43.8</v>
          </cell>
          <cell r="AQ17">
            <v>43.8</v>
          </cell>
          <cell r="AR17">
            <v>1.8129161597525862</v>
          </cell>
          <cell r="AS17" t="str">
            <v/>
          </cell>
          <cell r="AT17">
            <v>0</v>
          </cell>
          <cell r="AU17" t="str">
            <v/>
          </cell>
          <cell r="AV17">
            <v>1</v>
          </cell>
          <cell r="AW17" t="str">
            <v>PROBLEM FRAC possible? KH prefrac Estimate is at least 50% higher than for a perfect frac</v>
          </cell>
          <cell r="AY17">
            <v>43.8</v>
          </cell>
        </row>
        <row r="18">
          <cell r="C18" t="str">
            <v>Malo-Balik!3160</v>
          </cell>
          <cell r="E18" t="str">
            <v>3160</v>
          </cell>
          <cell r="F18">
            <v>2735.6</v>
          </cell>
          <cell r="G18">
            <v>36757</v>
          </cell>
          <cell r="H18">
            <v>250</v>
          </cell>
          <cell r="I18">
            <v>144</v>
          </cell>
          <cell r="J18" t="str">
            <v/>
          </cell>
          <cell r="M18" t="str">
            <v/>
          </cell>
          <cell r="O18" t="str">
            <v/>
          </cell>
          <cell r="P18">
            <v>0</v>
          </cell>
          <cell r="Q18">
            <v>0.2176767114746789</v>
          </cell>
          <cell r="R18" t="str">
            <v/>
          </cell>
          <cell r="S18">
            <v>0.2176767114746789</v>
          </cell>
          <cell r="T18">
            <v>50.999999999999993</v>
          </cell>
          <cell r="U18" t="str">
            <v>New</v>
          </cell>
          <cell r="X18">
            <v>41.5</v>
          </cell>
          <cell r="Y18">
            <v>0.46050000000000002</v>
          </cell>
          <cell r="Z18">
            <v>-3.7301696319990327</v>
          </cell>
          <cell r="AA18">
            <v>-3.2713299999999998</v>
          </cell>
          <cell r="AB18">
            <v>-4.8753402327628343</v>
          </cell>
          <cell r="AC18" t="str">
            <v>BS-16-20,94</v>
          </cell>
          <cell r="AE18">
            <v>26.99</v>
          </cell>
          <cell r="AF18" t="str">
            <v>16/30</v>
          </cell>
          <cell r="AG18">
            <v>34</v>
          </cell>
          <cell r="AH18">
            <v>63.3</v>
          </cell>
          <cell r="AI18">
            <v>420</v>
          </cell>
          <cell r="AJ18">
            <v>1946.5279208736863</v>
          </cell>
          <cell r="AK18">
            <v>1</v>
          </cell>
          <cell r="AL18" t="str">
            <v>0.02252:-3.27133!51.00000</v>
          </cell>
          <cell r="AM18">
            <v>2.2519999999999998E-2</v>
          </cell>
          <cell r="AN18">
            <v>-3.2713299999999998</v>
          </cell>
          <cell r="AO18">
            <v>0.4616725516384983</v>
          </cell>
          <cell r="AP18">
            <v>51</v>
          </cell>
          <cell r="AQ18">
            <v>50.999999999999993</v>
          </cell>
          <cell r="AR18">
            <v>1.8602614527776329</v>
          </cell>
          <cell r="AS18" t="str">
            <v/>
          </cell>
          <cell r="AT18">
            <v>0</v>
          </cell>
          <cell r="AU18" t="str">
            <v/>
          </cell>
          <cell r="AV18">
            <v>1</v>
          </cell>
          <cell r="AW18" t="str">
            <v>PROBLEM FRAC possible? KH prefrac Estimate is at least 50% higher than for a perfect frac</v>
          </cell>
          <cell r="AY18">
            <v>51</v>
          </cell>
        </row>
        <row r="19">
          <cell r="C19" t="str">
            <v>Malo-Balik!3186</v>
          </cell>
          <cell r="E19" t="str">
            <v>3186</v>
          </cell>
          <cell r="F19">
            <v>2697.3</v>
          </cell>
          <cell r="G19">
            <v>36710</v>
          </cell>
          <cell r="H19">
            <v>254</v>
          </cell>
          <cell r="I19">
            <v>144</v>
          </cell>
          <cell r="J19" t="str">
            <v/>
          </cell>
          <cell r="M19" t="str">
            <v/>
          </cell>
          <cell r="O19" t="str">
            <v/>
          </cell>
          <cell r="P19">
            <v>0</v>
          </cell>
          <cell r="Q19">
            <v>6.2315293873143364E-2</v>
          </cell>
          <cell r="R19" t="str">
            <v/>
          </cell>
          <cell r="S19">
            <v>6.2315293873143364E-2</v>
          </cell>
          <cell r="T19">
            <v>14.599999999999998</v>
          </cell>
          <cell r="U19" t="str">
            <v>Old</v>
          </cell>
          <cell r="X19">
            <v>27.25</v>
          </cell>
          <cell r="Y19">
            <v>0.23849999999999999</v>
          </cell>
          <cell r="Z19">
            <v>-5.2257388576544166</v>
          </cell>
          <cell r="AA19">
            <v>-4.08378</v>
          </cell>
          <cell r="AB19">
            <v>-5.2966837252276866</v>
          </cell>
          <cell r="AC19" t="str">
            <v>BS-4,100</v>
          </cell>
          <cell r="AE19">
            <v>24.5</v>
          </cell>
          <cell r="AF19" t="str">
            <v>12/20</v>
          </cell>
          <cell r="AG19">
            <v>29.2</v>
          </cell>
          <cell r="AH19">
            <v>89</v>
          </cell>
          <cell r="AI19">
            <v>590</v>
          </cell>
          <cell r="AJ19">
            <v>1765.3883732291158</v>
          </cell>
          <cell r="AK19">
            <v>1</v>
          </cell>
          <cell r="AL19" t="str">
            <v>0.01781:-4.08378!14.60000</v>
          </cell>
          <cell r="AM19">
            <v>1.7809999999999999E-2</v>
          </cell>
          <cell r="AN19">
            <v>-4.08378</v>
          </cell>
          <cell r="AO19">
            <v>0.70655206578001239</v>
          </cell>
          <cell r="AP19">
            <v>14.6</v>
          </cell>
          <cell r="AQ19">
            <v>14.599999999999998</v>
          </cell>
          <cell r="AR19">
            <v>2.3656912077967838</v>
          </cell>
          <cell r="AS19" t="str">
            <v/>
          </cell>
          <cell r="AT19">
            <v>0</v>
          </cell>
          <cell r="AU19" t="str">
            <v/>
          </cell>
          <cell r="AV19">
            <v>1</v>
          </cell>
          <cell r="AW19" t="str">
            <v>PROBLEM FRAC possible? KH prefrac Estimate is at least 50% higher than for a perfect frac</v>
          </cell>
          <cell r="AY19">
            <v>14.6</v>
          </cell>
        </row>
        <row r="20">
          <cell r="C20" t="str">
            <v>Malo-Balik!3201</v>
          </cell>
          <cell r="E20" t="str">
            <v>3201</v>
          </cell>
          <cell r="F20">
            <v>2689.25</v>
          </cell>
          <cell r="G20">
            <v>36673</v>
          </cell>
          <cell r="H20">
            <v>227.3159824</v>
          </cell>
          <cell r="I20">
            <v>144</v>
          </cell>
          <cell r="J20" t="str">
            <v/>
          </cell>
          <cell r="M20" t="str">
            <v/>
          </cell>
          <cell r="O20" t="str">
            <v/>
          </cell>
          <cell r="P20">
            <v>0</v>
          </cell>
          <cell r="Q20">
            <v>0.24968799257389637</v>
          </cell>
          <cell r="R20" t="str">
            <v/>
          </cell>
          <cell r="S20">
            <v>0.24968799257389637</v>
          </cell>
          <cell r="T20">
            <v>58.499999999999993</v>
          </cell>
          <cell r="U20" t="str">
            <v>New</v>
          </cell>
          <cell r="X20">
            <v>24</v>
          </cell>
          <cell r="Y20">
            <v>0.78</v>
          </cell>
          <cell r="Z20">
            <v>-4.8095532572331035</v>
          </cell>
          <cell r="AA20">
            <v>-4.1782500000000002</v>
          </cell>
          <cell r="AB20">
            <v>-5.0095929849765515</v>
          </cell>
          <cell r="AC20" t="str">
            <v>BS16-20,100</v>
          </cell>
          <cell r="AE20">
            <v>22.72</v>
          </cell>
          <cell r="AF20" t="str">
            <v>12/20</v>
          </cell>
          <cell r="AG20">
            <v>39</v>
          </cell>
          <cell r="AH20">
            <v>75.900000000000006</v>
          </cell>
          <cell r="AI20">
            <v>590</v>
          </cell>
          <cell r="AJ20">
            <v>1919.6883771552955</v>
          </cell>
          <cell r="AK20">
            <v>1</v>
          </cell>
          <cell r="AL20" t="str">
            <v>0.07910:-4.17825!58.50000</v>
          </cell>
          <cell r="AM20">
            <v>7.9100000000000004E-2</v>
          </cell>
          <cell r="AN20">
            <v>-4.1782500000000002</v>
          </cell>
          <cell r="AO20">
            <v>1.3337492370046891</v>
          </cell>
          <cell r="AP20">
            <v>58.5</v>
          </cell>
          <cell r="AQ20">
            <v>58.499999999999993</v>
          </cell>
          <cell r="AR20">
            <v>2.442867517026686</v>
          </cell>
          <cell r="AS20" t="str">
            <v/>
          </cell>
          <cell r="AT20">
            <v>0</v>
          </cell>
          <cell r="AU20" t="str">
            <v/>
          </cell>
          <cell r="AV20">
            <v>1</v>
          </cell>
          <cell r="AW20" t="str">
            <v>PROBLEM FRAC possible? KH prefrac Estimate is at least 50% higher than for a perfect frac</v>
          </cell>
          <cell r="AY20">
            <v>58.5</v>
          </cell>
        </row>
        <row r="21">
          <cell r="C21" t="str">
            <v>Malo-Balik!3219</v>
          </cell>
          <cell r="E21" t="str">
            <v>3219</v>
          </cell>
          <cell r="F21">
            <v>2738</v>
          </cell>
          <cell r="G21">
            <v>36818</v>
          </cell>
          <cell r="H21">
            <v>239</v>
          </cell>
          <cell r="I21">
            <v>144</v>
          </cell>
          <cell r="J21" t="str">
            <v/>
          </cell>
          <cell r="M21" t="str">
            <v/>
          </cell>
          <cell r="O21" t="str">
            <v/>
          </cell>
          <cell r="P21">
            <v>0</v>
          </cell>
          <cell r="Q21">
            <v>0.11139925822527683</v>
          </cell>
          <cell r="R21" t="str">
            <v/>
          </cell>
          <cell r="S21">
            <v>0.11139925822527683</v>
          </cell>
          <cell r="T21">
            <v>26.099999999999994</v>
          </cell>
          <cell r="U21" t="str">
            <v>Old</v>
          </cell>
          <cell r="X21">
            <v>29.75</v>
          </cell>
          <cell r="Y21">
            <v>0.49819999999999998</v>
          </cell>
          <cell r="Z21">
            <v>-5.4922646414045264</v>
          </cell>
          <cell r="AA21">
            <v>-4.8105900000000004</v>
          </cell>
          <cell r="AB21">
            <v>-4.7867050473374615</v>
          </cell>
          <cell r="AC21" t="str">
            <v>BS-18-20,100</v>
          </cell>
          <cell r="AE21">
            <v>34.813000000000002</v>
          </cell>
          <cell r="AF21" t="str">
            <v>16/30</v>
          </cell>
          <cell r="AG21">
            <v>17.399999999999999</v>
          </cell>
          <cell r="AH21">
            <v>50.7</v>
          </cell>
          <cell r="AI21">
            <v>420</v>
          </cell>
          <cell r="AJ21">
            <v>4503.8686278162686</v>
          </cell>
          <cell r="AK21">
            <v>1</v>
          </cell>
          <cell r="AL21" t="str">
            <v>1:-4.81059!24.74309</v>
          </cell>
          <cell r="AM21">
            <v>1</v>
          </cell>
          <cell r="AN21">
            <v>-4.8105900000000004</v>
          </cell>
          <cell r="AO21">
            <v>62.470224736617951</v>
          </cell>
          <cell r="AP21">
            <v>24.743089999999999</v>
          </cell>
          <cell r="AQ21">
            <v>26.099999999999994</v>
          </cell>
          <cell r="AR21">
            <v>2.9628471623205686</v>
          </cell>
          <cell r="AS21" t="str">
            <v/>
          </cell>
          <cell r="AT21">
            <v>0</v>
          </cell>
          <cell r="AU21" t="str">
            <v/>
          </cell>
          <cell r="AV21">
            <v>0</v>
          </cell>
          <cell r="AW21" t="str">
            <v>Prefrac  kh estimate acceptable</v>
          </cell>
          <cell r="AY21">
            <v>26.099999999999994</v>
          </cell>
        </row>
        <row r="22">
          <cell r="C22" t="str">
            <v>Malo-Balik!3229</v>
          </cell>
          <cell r="E22" t="str">
            <v>3229</v>
          </cell>
          <cell r="F22">
            <v>2766.7</v>
          </cell>
          <cell r="G22">
            <v>36739</v>
          </cell>
          <cell r="H22">
            <v>281.03483199999999</v>
          </cell>
          <cell r="I22">
            <v>144</v>
          </cell>
          <cell r="J22" t="str">
            <v/>
          </cell>
          <cell r="M22" t="str">
            <v/>
          </cell>
          <cell r="O22" t="str">
            <v/>
          </cell>
          <cell r="P22">
            <v>0</v>
          </cell>
          <cell r="Q22">
            <v>9.4753392053683758E-2</v>
          </cell>
          <cell r="R22" t="str">
            <v/>
          </cell>
          <cell r="S22">
            <v>9.4753392053683758E-2</v>
          </cell>
          <cell r="T22">
            <v>22.2</v>
          </cell>
          <cell r="U22" t="str">
            <v>New</v>
          </cell>
          <cell r="X22">
            <v>17.5</v>
          </cell>
          <cell r="Y22">
            <v>0.41120000000000001</v>
          </cell>
          <cell r="Z22">
            <v>-5.443963678481623</v>
          </cell>
          <cell r="AA22">
            <v>-4.5098500000000001</v>
          </cell>
          <cell r="AB22">
            <v>-5.1402931209827791</v>
          </cell>
          <cell r="AC22" t="str">
            <v>BS-17-20,100</v>
          </cell>
          <cell r="AE22">
            <v>32.200000000000003</v>
          </cell>
          <cell r="AF22" t="str">
            <v>16/30</v>
          </cell>
          <cell r="AG22">
            <v>14.8</v>
          </cell>
          <cell r="AH22">
            <v>77.3</v>
          </cell>
          <cell r="AI22">
            <v>420</v>
          </cell>
          <cell r="AJ22">
            <v>3212.3002692213563</v>
          </cell>
          <cell r="AK22">
            <v>1</v>
          </cell>
          <cell r="AL22" t="str">
            <v>0.05173:-4.50985!22.20000</v>
          </cell>
          <cell r="AM22">
            <v>5.1729999999999998E-2</v>
          </cell>
          <cell r="AN22">
            <v>-4.5098500000000001</v>
          </cell>
          <cell r="AO22">
            <v>1.4331374982908214</v>
          </cell>
          <cell r="AP22">
            <v>22.2</v>
          </cell>
          <cell r="AQ22">
            <v>22.2</v>
          </cell>
          <cell r="AR22">
            <v>2.7587774027048626</v>
          </cell>
          <cell r="AS22" t="str">
            <v/>
          </cell>
          <cell r="AT22">
            <v>0</v>
          </cell>
          <cell r="AU22" t="str">
            <v/>
          </cell>
          <cell r="AV22">
            <v>1</v>
          </cell>
          <cell r="AW22" t="str">
            <v>PROBLEM FRAC possible? KH prefrac Estimate is at least 50% higher than for a perfect frac</v>
          </cell>
          <cell r="AY22">
            <v>22.2</v>
          </cell>
        </row>
        <row r="23">
          <cell r="C23" t="str">
            <v>Malo-Balik!3230</v>
          </cell>
          <cell r="E23" t="str">
            <v>3230</v>
          </cell>
          <cell r="F23">
            <v>2766.5</v>
          </cell>
          <cell r="G23">
            <v>36743</v>
          </cell>
          <cell r="H23">
            <v>247.97550960000001</v>
          </cell>
          <cell r="I23">
            <v>144</v>
          </cell>
          <cell r="J23" t="str">
            <v/>
          </cell>
          <cell r="M23" t="str">
            <v/>
          </cell>
          <cell r="O23" t="str">
            <v/>
          </cell>
          <cell r="P23">
            <v>0</v>
          </cell>
          <cell r="Q23">
            <v>5.249850100271667E-2</v>
          </cell>
          <cell r="R23" t="str">
            <v/>
          </cell>
          <cell r="S23">
            <v>5.249850100271667E-2</v>
          </cell>
          <cell r="T23">
            <v>12.299999999999999</v>
          </cell>
          <cell r="U23" t="str">
            <v>New</v>
          </cell>
          <cell r="X23">
            <v>17</v>
          </cell>
          <cell r="Y23">
            <v>0.41920000000000002</v>
          </cell>
          <cell r="Z23">
            <v>-6.1881280442670672</v>
          </cell>
          <cell r="AA23">
            <v>-5.2981400000000001</v>
          </cell>
          <cell r="AB23">
            <v>-5.2632680611815701</v>
          </cell>
          <cell r="AC23" t="str">
            <v>BS-16-21,100</v>
          </cell>
          <cell r="AE23">
            <v>29.2</v>
          </cell>
          <cell r="AF23" t="str">
            <v>16/30</v>
          </cell>
          <cell r="AG23">
            <v>8.1999999999999993</v>
          </cell>
          <cell r="AH23">
            <v>86.1</v>
          </cell>
          <cell r="AI23">
            <v>420</v>
          </cell>
          <cell r="AJ23">
            <v>4720.275198510205</v>
          </cell>
          <cell r="AK23">
            <v>1</v>
          </cell>
          <cell r="AL23" t="str">
            <v>1:-5.29814!12.63169</v>
          </cell>
          <cell r="AM23">
            <v>1</v>
          </cell>
          <cell r="AN23">
            <v>-5.2981400000000001</v>
          </cell>
          <cell r="AO23">
            <v>35.589063609519691</v>
          </cell>
          <cell r="AP23">
            <v>12.631690000000001</v>
          </cell>
          <cell r="AQ23">
            <v>12.299999999999999</v>
          </cell>
          <cell r="AR23">
            <v>4.0907623529653083</v>
          </cell>
          <cell r="AS23">
            <v>0.19076344075942586</v>
          </cell>
          <cell r="AT23">
            <v>0</v>
          </cell>
          <cell r="AU23" t="str">
            <v/>
          </cell>
          <cell r="AV23">
            <v>0</v>
          </cell>
          <cell r="AW23" t="str">
            <v>Prefrac  kh estimate acceptable</v>
          </cell>
          <cell r="AY23">
            <v>12.631690000000001</v>
          </cell>
        </row>
        <row r="24">
          <cell r="C24" t="str">
            <v>Malo-Balik!3282</v>
          </cell>
          <cell r="E24" t="str">
            <v>3282</v>
          </cell>
          <cell r="F24">
            <v>2756.05</v>
          </cell>
          <cell r="G24">
            <v>36752</v>
          </cell>
          <cell r="H24">
            <v>230.405734</v>
          </cell>
          <cell r="I24">
            <v>144</v>
          </cell>
          <cell r="J24" t="str">
            <v/>
          </cell>
          <cell r="M24" t="str">
            <v/>
          </cell>
          <cell r="O24" t="str">
            <v/>
          </cell>
          <cell r="P24">
            <v>0</v>
          </cell>
          <cell r="Q24">
            <v>8.4509782101934147E-2</v>
          </cell>
          <cell r="R24" t="str">
            <v/>
          </cell>
          <cell r="S24">
            <v>8.4509782101934147E-2</v>
          </cell>
          <cell r="T24">
            <v>19.799999999999997</v>
          </cell>
          <cell r="U24" t="str">
            <v>New</v>
          </cell>
          <cell r="X24">
            <v>43</v>
          </cell>
          <cell r="Y24">
            <v>0.53990000000000005</v>
          </cell>
          <cell r="Z24">
            <v>-5.9667556108627346</v>
          </cell>
          <cell r="AA24">
            <v>-5.2464000000000004</v>
          </cell>
          <cell r="AB24">
            <v>-5.2056728198694708</v>
          </cell>
          <cell r="AC24" t="str">
            <v>BS-16-20,100</v>
          </cell>
          <cell r="AE24">
            <v>28.3</v>
          </cell>
          <cell r="AF24" t="str">
            <v>16/30</v>
          </cell>
          <cell r="AG24">
            <v>13.2</v>
          </cell>
          <cell r="AH24">
            <v>84.8</v>
          </cell>
          <cell r="AI24">
            <v>420</v>
          </cell>
          <cell r="AJ24">
            <v>2885.4803676635097</v>
          </cell>
          <cell r="AK24">
            <v>1</v>
          </cell>
          <cell r="AL24" t="str">
            <v>1:-5.24640!24.84389</v>
          </cell>
          <cell r="AM24">
            <v>1</v>
          </cell>
          <cell r="AN24">
            <v>-5.2464000000000004</v>
          </cell>
          <cell r="AO24">
            <v>18.079091595197777</v>
          </cell>
          <cell r="AP24">
            <v>24.843889999999998</v>
          </cell>
          <cell r="AQ24">
            <v>19.799999999999997</v>
          </cell>
          <cell r="AR24">
            <v>4.8565761725133623</v>
          </cell>
          <cell r="AS24">
            <v>1.8020560572574729</v>
          </cell>
          <cell r="AT24">
            <v>0</v>
          </cell>
          <cell r="AU24" t="str">
            <v/>
          </cell>
          <cell r="AV24">
            <v>0</v>
          </cell>
          <cell r="AW24" t="str">
            <v>Prefrac  kh estimate acceptable</v>
          </cell>
          <cell r="AY24">
            <v>24.843889999999998</v>
          </cell>
        </row>
        <row r="25">
          <cell r="C25" t="str">
            <v>Malo-Balik!3283</v>
          </cell>
          <cell r="E25" t="str">
            <v>3283</v>
          </cell>
          <cell r="F25">
            <v>2736.55</v>
          </cell>
          <cell r="G25">
            <v>36712</v>
          </cell>
          <cell r="H25">
            <v>270.70506840000002</v>
          </cell>
          <cell r="I25">
            <v>144</v>
          </cell>
          <cell r="J25" t="str">
            <v/>
          </cell>
          <cell r="M25" t="str">
            <v/>
          </cell>
          <cell r="O25" t="str">
            <v/>
          </cell>
          <cell r="P25">
            <v>0</v>
          </cell>
          <cell r="Q25">
            <v>7.8107525882090661E-2</v>
          </cell>
          <cell r="R25" t="str">
            <v/>
          </cell>
          <cell r="S25">
            <v>7.8107525882090661E-2</v>
          </cell>
          <cell r="T25">
            <v>18.3</v>
          </cell>
          <cell r="U25" t="str">
            <v>Old</v>
          </cell>
          <cell r="X25">
            <v>34</v>
          </cell>
          <cell r="Y25">
            <v>0.24840000000000001</v>
          </cell>
          <cell r="Z25">
            <v>-4.8496650451394716</v>
          </cell>
          <cell r="AA25">
            <v>-4.1787900000000002</v>
          </cell>
          <cell r="AB25">
            <v>-5.2011813301218162</v>
          </cell>
          <cell r="AC25" t="str">
            <v>BS-17-21,100</v>
          </cell>
          <cell r="AE25">
            <v>24.63</v>
          </cell>
          <cell r="AF25" t="str">
            <v>12/20</v>
          </cell>
          <cell r="AG25">
            <v>12.2</v>
          </cell>
          <cell r="AH25">
            <v>80.400000000000006</v>
          </cell>
          <cell r="AI25">
            <v>590</v>
          </cell>
          <cell r="AJ25">
            <v>4025.8049116498755</v>
          </cell>
          <cell r="AK25">
            <v>1</v>
          </cell>
          <cell r="AL25" t="str">
            <v>0.02361:-4.17879!18.30000</v>
          </cell>
          <cell r="AM25">
            <v>2.3609999999999999E-2</v>
          </cell>
          <cell r="AN25">
            <v>-4.1787900000000002</v>
          </cell>
          <cell r="AO25">
            <v>0.78813643419613211</v>
          </cell>
          <cell r="AP25">
            <v>18.3</v>
          </cell>
          <cell r="AQ25">
            <v>18.3</v>
          </cell>
          <cell r="AR25">
            <v>2.4433231411422209</v>
          </cell>
          <cell r="AS25" t="str">
            <v/>
          </cell>
          <cell r="AT25">
            <v>0</v>
          </cell>
          <cell r="AU25" t="str">
            <v/>
          </cell>
          <cell r="AV25">
            <v>1</v>
          </cell>
          <cell r="AW25" t="str">
            <v>PROBLEM FRAC possible? KH prefrac Estimate is at least 50% higher than for a perfect frac</v>
          </cell>
          <cell r="AY25">
            <v>18.3</v>
          </cell>
        </row>
        <row r="26">
          <cell r="C26" t="str">
            <v>Malo-Balik!3326</v>
          </cell>
          <cell r="E26" t="str">
            <v>3326</v>
          </cell>
          <cell r="F26">
            <v>2731.6</v>
          </cell>
          <cell r="G26">
            <v>36637</v>
          </cell>
          <cell r="H26">
            <v>268.64523400000002</v>
          </cell>
          <cell r="I26">
            <v>144</v>
          </cell>
          <cell r="J26" t="str">
            <v/>
          </cell>
          <cell r="M26" t="str">
            <v/>
          </cell>
          <cell r="O26" t="str">
            <v/>
          </cell>
          <cell r="P26">
            <v>0</v>
          </cell>
          <cell r="Q26">
            <v>0.25609024879373987</v>
          </cell>
          <cell r="R26" t="str">
            <v/>
          </cell>
          <cell r="S26">
            <v>0.25609024879373987</v>
          </cell>
          <cell r="T26">
            <v>60</v>
          </cell>
          <cell r="U26" t="str">
            <v>New</v>
          </cell>
          <cell r="X26">
            <v>29</v>
          </cell>
          <cell r="Y26">
            <v>0.47010000000000002</v>
          </cell>
          <cell r="Z26">
            <v>-3.2204101825249776</v>
          </cell>
          <cell r="AA26">
            <v>-2.7721900000000002</v>
          </cell>
          <cell r="AB26">
            <v>-4.972710041499564</v>
          </cell>
          <cell r="AC26" t="str">
            <v>BS 18-20,86</v>
          </cell>
          <cell r="AE26">
            <v>41.078000000000003</v>
          </cell>
          <cell r="AF26" t="str">
            <v>16/30</v>
          </cell>
          <cell r="AG26">
            <v>20</v>
          </cell>
          <cell r="AH26">
            <v>69.2</v>
          </cell>
          <cell r="AI26">
            <v>420</v>
          </cell>
          <cell r="AJ26">
            <v>3387.4638728323698</v>
          </cell>
          <cell r="AK26">
            <v>1</v>
          </cell>
          <cell r="AL26" t="str">
            <v>0.01086:-2.77219!60.00000</v>
          </cell>
          <cell r="AM26">
            <v>1.086E-2</v>
          </cell>
          <cell r="AN26">
            <v>-2.7721900000000002</v>
          </cell>
          <cell r="AO26">
            <v>0.17720548005279163</v>
          </cell>
          <cell r="AP26">
            <v>60</v>
          </cell>
          <cell r="AQ26">
            <v>60</v>
          </cell>
          <cell r="AR26">
            <v>1.6444171987635148</v>
          </cell>
          <cell r="AS26" t="str">
            <v/>
          </cell>
          <cell r="AT26">
            <v>0</v>
          </cell>
          <cell r="AU26" t="str">
            <v/>
          </cell>
          <cell r="AV26">
            <v>1</v>
          </cell>
          <cell r="AW26" t="str">
            <v>PROBLEM FRAC possible? KH prefrac Estimate is at least 50% higher than for a perfect frac</v>
          </cell>
          <cell r="AY26">
            <v>60</v>
          </cell>
        </row>
        <row r="27">
          <cell r="C27" t="str">
            <v>Malo-Balik!3335</v>
          </cell>
          <cell r="E27" t="str">
            <v>3335</v>
          </cell>
          <cell r="F27">
            <v>2688.1</v>
          </cell>
          <cell r="G27">
            <v>36754</v>
          </cell>
          <cell r="H27">
            <v>241</v>
          </cell>
          <cell r="I27">
            <v>144</v>
          </cell>
          <cell r="J27" t="str">
            <v/>
          </cell>
          <cell r="M27" t="str">
            <v/>
          </cell>
          <cell r="O27" t="str">
            <v/>
          </cell>
          <cell r="P27">
            <v>0</v>
          </cell>
          <cell r="Q27">
            <v>9.3472940809715049E-2</v>
          </cell>
          <cell r="R27" t="str">
            <v/>
          </cell>
          <cell r="S27">
            <v>9.3472940809715049E-2</v>
          </cell>
          <cell r="T27">
            <v>21.9</v>
          </cell>
          <cell r="U27" t="str">
            <v>New</v>
          </cell>
          <cell r="X27">
            <v>44.5</v>
          </cell>
          <cell r="Y27">
            <v>0.35770000000000002</v>
          </cell>
          <cell r="Z27">
            <v>-5.2254804976945053</v>
          </cell>
          <cell r="AA27">
            <v>-5.1679000000000004</v>
          </cell>
          <cell r="AB27">
            <v>-5.1032609022630586</v>
          </cell>
          <cell r="AC27" t="str">
            <v>BS-18-22,99</v>
          </cell>
          <cell r="AE27">
            <v>29.19</v>
          </cell>
          <cell r="AF27" t="str">
            <v>16/30</v>
          </cell>
          <cell r="AG27">
            <v>14.6</v>
          </cell>
          <cell r="AH27">
            <v>74.400000000000006</v>
          </cell>
          <cell r="AI27">
            <v>420</v>
          </cell>
          <cell r="AJ27">
            <v>3066.9717477761342</v>
          </cell>
          <cell r="AK27">
            <v>1</v>
          </cell>
          <cell r="AL27" t="str">
            <v>1:-5.16790!14.18480</v>
          </cell>
          <cell r="AM27">
            <v>1</v>
          </cell>
          <cell r="AN27">
            <v>-5.1679000000000004</v>
          </cell>
          <cell r="AO27">
            <v>42.429359790939664</v>
          </cell>
          <cell r="AP27">
            <v>14.184799999999999</v>
          </cell>
          <cell r="AQ27">
            <v>21.9</v>
          </cell>
          <cell r="AR27">
            <v>2.4037584150540656</v>
          </cell>
          <cell r="AS27" t="str">
            <v/>
          </cell>
          <cell r="AT27">
            <v>0</v>
          </cell>
          <cell r="AU27" t="str">
            <v/>
          </cell>
          <cell r="AV27">
            <v>0</v>
          </cell>
          <cell r="AW27" t="str">
            <v>Prefrac  kh estimate acceptable</v>
          </cell>
          <cell r="AY27">
            <v>21.9</v>
          </cell>
        </row>
        <row r="28">
          <cell r="C28" t="str">
            <v>Malo-Balik!3368</v>
          </cell>
          <cell r="E28" t="str">
            <v>3368</v>
          </cell>
          <cell r="F28">
            <v>2788.55</v>
          </cell>
          <cell r="G28">
            <v>36635</v>
          </cell>
          <cell r="H28">
            <v>268.64523400000002</v>
          </cell>
          <cell r="I28">
            <v>144</v>
          </cell>
          <cell r="J28" t="str">
            <v/>
          </cell>
          <cell r="M28" t="str">
            <v/>
          </cell>
          <cell r="O28" t="str">
            <v/>
          </cell>
          <cell r="P28">
            <v>0</v>
          </cell>
          <cell r="Q28">
            <v>0.24328573635405287</v>
          </cell>
          <cell r="R28" t="str">
            <v/>
          </cell>
          <cell r="S28">
            <v>0.24328573635405287</v>
          </cell>
          <cell r="T28">
            <v>56.999999999999993</v>
          </cell>
          <cell r="U28" t="str">
            <v>New</v>
          </cell>
          <cell r="X28">
            <v>31</v>
          </cell>
          <cell r="Y28">
            <v>0.46429999999999999</v>
          </cell>
          <cell r="Z28">
            <v>-3.3673596168144586</v>
          </cell>
          <cell r="AA28">
            <v>-2.9499900000000001</v>
          </cell>
          <cell r="AB28">
            <v>-4.7608158936677354</v>
          </cell>
          <cell r="AC28" t="str">
            <v>BS-18-20,99</v>
          </cell>
          <cell r="AE28">
            <v>46.357999999999997</v>
          </cell>
          <cell r="AF28" t="str">
            <v>16/30</v>
          </cell>
          <cell r="AG28">
            <v>19</v>
          </cell>
          <cell r="AH28">
            <v>50.9</v>
          </cell>
          <cell r="AI28">
            <v>420</v>
          </cell>
          <cell r="AJ28">
            <v>5470.8496491078204</v>
          </cell>
          <cell r="AK28">
            <v>1</v>
          </cell>
          <cell r="AL28" t="str">
            <v>0.00831:-2.94999!57.00000</v>
          </cell>
          <cell r="AM28">
            <v>8.3099999999999997E-3</v>
          </cell>
          <cell r="AN28">
            <v>-2.9499900000000001</v>
          </cell>
          <cell r="AO28">
            <v>0.29772600251529791</v>
          </cell>
          <cell r="AP28">
            <v>57</v>
          </cell>
          <cell r="AQ28">
            <v>56.999999999999993</v>
          </cell>
          <cell r="AR28">
            <v>1.715312787274071</v>
          </cell>
          <cell r="AS28" t="str">
            <v/>
          </cell>
          <cell r="AT28">
            <v>0</v>
          </cell>
          <cell r="AU28" t="str">
            <v/>
          </cell>
          <cell r="AV28">
            <v>1</v>
          </cell>
          <cell r="AW28" t="str">
            <v>PROBLEM FRAC possible? KH prefrac Estimate is at least 50% higher than for a perfect frac</v>
          </cell>
          <cell r="AY28">
            <v>57</v>
          </cell>
        </row>
        <row r="29">
          <cell r="C29" t="str">
            <v>Malo-Balik!3382</v>
          </cell>
          <cell r="E29" t="str">
            <v>3382</v>
          </cell>
          <cell r="F29">
            <v>2783.85</v>
          </cell>
          <cell r="G29">
            <v>36699</v>
          </cell>
          <cell r="H29">
            <v>258.30527319999999</v>
          </cell>
          <cell r="I29">
            <v>144</v>
          </cell>
          <cell r="J29" t="str">
            <v/>
          </cell>
          <cell r="M29" t="str">
            <v/>
          </cell>
          <cell r="O29" t="str">
            <v/>
          </cell>
          <cell r="P29">
            <v>0</v>
          </cell>
          <cell r="Q29">
            <v>0.14789211867838481</v>
          </cell>
          <cell r="R29" t="str">
            <v/>
          </cell>
          <cell r="S29">
            <v>0.14789211867838481</v>
          </cell>
          <cell r="T29">
            <v>34.650000000000006</v>
          </cell>
          <cell r="U29" t="str">
            <v>New</v>
          </cell>
          <cell r="X29">
            <v>36.5</v>
          </cell>
          <cell r="Y29">
            <v>0.39560000000000001</v>
          </cell>
          <cell r="Z29">
            <v>-4.4294665058666229</v>
          </cell>
          <cell r="AA29">
            <v>-3.7799100000000001</v>
          </cell>
          <cell r="AB29">
            <v>-5.1737323750945761</v>
          </cell>
          <cell r="AC29" t="str">
            <v>BS-16-20,100</v>
          </cell>
          <cell r="AE29">
            <v>42.9</v>
          </cell>
          <cell r="AF29" t="str">
            <v>16/30</v>
          </cell>
          <cell r="AG29">
            <v>23.1</v>
          </cell>
          <cell r="AH29">
            <v>82.9</v>
          </cell>
          <cell r="AI29">
            <v>420</v>
          </cell>
          <cell r="AJ29">
            <v>2556.7734829810665</v>
          </cell>
          <cell r="AK29">
            <v>1</v>
          </cell>
          <cell r="AL29" t="str">
            <v>0.02197:-3.77991!34.65000</v>
          </cell>
          <cell r="AM29">
            <v>2.197E-2</v>
          </cell>
          <cell r="AN29">
            <v>-3.7799100000000001</v>
          </cell>
          <cell r="AO29">
            <v>0.45172749031840798</v>
          </cell>
          <cell r="AP29">
            <v>34.65</v>
          </cell>
          <cell r="AQ29">
            <v>34.650000000000006</v>
          </cell>
          <cell r="AR29">
            <v>2.147466281763343</v>
          </cell>
          <cell r="AS29" t="str">
            <v/>
          </cell>
          <cell r="AT29">
            <v>0</v>
          </cell>
          <cell r="AU29" t="str">
            <v/>
          </cell>
          <cell r="AV29">
            <v>1</v>
          </cell>
          <cell r="AW29" t="str">
            <v>PROBLEM FRAC possible? KH prefrac Estimate is at least 50% higher than for a perfect frac</v>
          </cell>
          <cell r="AY29">
            <v>34.650000000000006</v>
          </cell>
        </row>
        <row r="30">
          <cell r="C30" t="str">
            <v>Malo-Balik!3384</v>
          </cell>
          <cell r="E30" t="str">
            <v>3384</v>
          </cell>
          <cell r="F30">
            <v>2772.3</v>
          </cell>
          <cell r="G30">
            <v>36651</v>
          </cell>
          <cell r="H30">
            <v>268.64523400000002</v>
          </cell>
          <cell r="I30">
            <v>144</v>
          </cell>
          <cell r="J30" t="str">
            <v/>
          </cell>
          <cell r="M30" t="str">
            <v/>
          </cell>
          <cell r="O30" t="str">
            <v/>
          </cell>
          <cell r="P30">
            <v>0</v>
          </cell>
          <cell r="Q30">
            <v>8.1095245451350953E-2</v>
          </cell>
          <cell r="R30" t="str">
            <v/>
          </cell>
          <cell r="S30">
            <v>8.1095245451350953E-2</v>
          </cell>
          <cell r="T30">
            <v>18.999999999999996</v>
          </cell>
          <cell r="U30" t="str">
            <v>New</v>
          </cell>
          <cell r="X30">
            <v>34.33</v>
          </cell>
          <cell r="Y30">
            <v>0.6</v>
          </cell>
          <cell r="Z30">
            <v>-6.1179268482153901</v>
          </cell>
          <cell r="AA30">
            <v>-5.1759000000000004</v>
          </cell>
          <cell r="AB30">
            <v>-5.1561055573091199</v>
          </cell>
          <cell r="AC30" t="str">
            <v>BS-18-20,100</v>
          </cell>
          <cell r="AE30">
            <v>46.460999999999999</v>
          </cell>
          <cell r="AF30" t="str">
            <v>16/30</v>
          </cell>
          <cell r="AG30">
            <v>19</v>
          </cell>
          <cell r="AH30">
            <v>75.2</v>
          </cell>
          <cell r="AI30">
            <v>420</v>
          </cell>
          <cell r="AJ30">
            <v>3711.2360935293823</v>
          </cell>
          <cell r="AK30">
            <v>1</v>
          </cell>
          <cell r="AL30" t="str">
            <v>1:-5.17590!23.54033</v>
          </cell>
          <cell r="AM30">
            <v>1</v>
          </cell>
          <cell r="AN30">
            <v>-5.1759000000000004</v>
          </cell>
          <cell r="AO30">
            <v>39.832888160095131</v>
          </cell>
          <cell r="AP30">
            <v>23.540330000000001</v>
          </cell>
          <cell r="AQ30">
            <v>18.999999999999996</v>
          </cell>
          <cell r="AR30">
            <v>4.6173969252742966</v>
          </cell>
          <cell r="AS30">
            <v>1.69044754339322</v>
          </cell>
          <cell r="AT30">
            <v>0</v>
          </cell>
          <cell r="AU30" t="str">
            <v/>
          </cell>
          <cell r="AV30">
            <v>0</v>
          </cell>
          <cell r="AW30" t="str">
            <v>Prefrac  kh estimate acceptable</v>
          </cell>
          <cell r="AY30">
            <v>23.540330000000001</v>
          </cell>
        </row>
        <row r="31">
          <cell r="C31" t="str">
            <v>Malo-Balik!3396</v>
          </cell>
          <cell r="E31" t="str">
            <v>3396</v>
          </cell>
          <cell r="F31">
            <v>2701.2</v>
          </cell>
          <cell r="G31">
            <v>36693</v>
          </cell>
          <cell r="H31">
            <v>293.18989440000001</v>
          </cell>
          <cell r="I31">
            <v>144</v>
          </cell>
          <cell r="J31" t="str">
            <v/>
          </cell>
          <cell r="M31" t="str">
            <v/>
          </cell>
          <cell r="O31" t="str">
            <v/>
          </cell>
          <cell r="P31">
            <v>0</v>
          </cell>
          <cell r="Q31">
            <v>0.15877595425211871</v>
          </cell>
          <cell r="R31" t="str">
            <v/>
          </cell>
          <cell r="S31">
            <v>0.15877595425211871</v>
          </cell>
          <cell r="T31">
            <v>37.200000000000003</v>
          </cell>
          <cell r="U31" t="str">
            <v>New</v>
          </cell>
          <cell r="X31">
            <v>32</v>
          </cell>
          <cell r="Y31">
            <v>0.41070000000000001</v>
          </cell>
          <cell r="Z31">
            <v>-4.339231290142628</v>
          </cell>
          <cell r="AA31">
            <v>-3.6112299999999999</v>
          </cell>
          <cell r="AB31">
            <v>-4.8748542635018293</v>
          </cell>
          <cell r="AC31" t="str">
            <v>BS-18-20,98</v>
          </cell>
          <cell r="AE31">
            <v>47.2</v>
          </cell>
          <cell r="AF31" t="str">
            <v>16/30</v>
          </cell>
          <cell r="AG31">
            <v>24.8</v>
          </cell>
          <cell r="AH31">
            <v>56.3</v>
          </cell>
          <cell r="AI31">
            <v>420</v>
          </cell>
          <cell r="AJ31">
            <v>3858.1880777940255</v>
          </cell>
          <cell r="AK31">
            <v>1</v>
          </cell>
          <cell r="AL31" t="str">
            <v>0.01282:-3.61123!37.20000</v>
          </cell>
          <cell r="AM31">
            <v>1.282E-2</v>
          </cell>
          <cell r="AN31">
            <v>-3.6112299999999999</v>
          </cell>
          <cell r="AO31">
            <v>0.58569533638033633</v>
          </cell>
          <cell r="AP31">
            <v>37.200000000000003</v>
          </cell>
          <cell r="AQ31">
            <v>37.200000000000003</v>
          </cell>
          <cell r="AR31">
            <v>2.0428593343332175</v>
          </cell>
          <cell r="AS31" t="str">
            <v/>
          </cell>
          <cell r="AT31">
            <v>0</v>
          </cell>
          <cell r="AU31" t="str">
            <v/>
          </cell>
          <cell r="AV31">
            <v>1</v>
          </cell>
          <cell r="AW31" t="str">
            <v>PROBLEM FRAC possible? KH prefrac Estimate is at least 50% higher than for a perfect frac</v>
          </cell>
          <cell r="AY31">
            <v>37.200000000000003</v>
          </cell>
        </row>
        <row r="32">
          <cell r="C32" t="str">
            <v>Malo-Balik!3412</v>
          </cell>
          <cell r="E32" t="str">
            <v>3412</v>
          </cell>
          <cell r="F32">
            <v>2776.2</v>
          </cell>
          <cell r="G32">
            <v>36695</v>
          </cell>
          <cell r="H32">
            <v>297.54409879999997</v>
          </cell>
          <cell r="I32">
            <v>144</v>
          </cell>
          <cell r="J32" t="str">
            <v/>
          </cell>
          <cell r="M32" t="str">
            <v/>
          </cell>
          <cell r="O32" t="str">
            <v/>
          </cell>
          <cell r="P32">
            <v>0</v>
          </cell>
          <cell r="Q32">
            <v>0.15365414927624393</v>
          </cell>
          <cell r="R32" t="str">
            <v/>
          </cell>
          <cell r="S32">
            <v>0.15365414927624393</v>
          </cell>
          <cell r="T32">
            <v>36</v>
          </cell>
          <cell r="U32" t="str">
            <v>New</v>
          </cell>
          <cell r="X32">
            <v>30</v>
          </cell>
          <cell r="Y32">
            <v>0.2311</v>
          </cell>
          <cell r="Z32">
            <v>-2.3706426281685777</v>
          </cell>
          <cell r="AA32">
            <v>-1.5908199999999999</v>
          </cell>
          <cell r="AB32">
            <v>-4.9441335202985606</v>
          </cell>
          <cell r="AC32" t="str">
            <v>BS-16-20,99</v>
          </cell>
          <cell r="AE32">
            <v>47.8</v>
          </cell>
          <cell r="AF32" t="str">
            <v>16/30</v>
          </cell>
          <cell r="AG32">
            <v>24</v>
          </cell>
          <cell r="AH32">
            <v>60.9</v>
          </cell>
          <cell r="AI32">
            <v>420</v>
          </cell>
          <cell r="AJ32">
            <v>3732.5087456271858</v>
          </cell>
          <cell r="AK32">
            <v>1</v>
          </cell>
          <cell r="AL32" t="str">
            <v>0.00147:-1.59082!36.00000</v>
          </cell>
          <cell r="AM32">
            <v>1.47E-3</v>
          </cell>
          <cell r="AN32">
            <v>-1.5908199999999999</v>
          </cell>
          <cell r="AO32">
            <v>6.006335912503518E-2</v>
          </cell>
          <cell r="AP32">
            <v>36</v>
          </cell>
          <cell r="AQ32">
            <v>36</v>
          </cell>
          <cell r="AR32">
            <v>1.2901248274009351</v>
          </cell>
          <cell r="AS32" t="str">
            <v/>
          </cell>
          <cell r="AT32">
            <v>0</v>
          </cell>
          <cell r="AU32" t="str">
            <v/>
          </cell>
          <cell r="AV32">
            <v>1</v>
          </cell>
          <cell r="AW32" t="str">
            <v>PROBLEM FRAC possible? KH prefrac Estimate is at least 50% higher than for a perfect frac</v>
          </cell>
          <cell r="AY32">
            <v>36</v>
          </cell>
        </row>
        <row r="33">
          <cell r="C33" t="str">
            <v>Malo-Balik!3426</v>
          </cell>
          <cell r="E33" t="str">
            <v>3426</v>
          </cell>
          <cell r="F33">
            <v>2739.75</v>
          </cell>
          <cell r="G33">
            <v>36628</v>
          </cell>
          <cell r="H33">
            <v>268.64523400000002</v>
          </cell>
          <cell r="I33">
            <v>144</v>
          </cell>
          <cell r="J33" t="str">
            <v/>
          </cell>
          <cell r="M33" t="str">
            <v/>
          </cell>
          <cell r="O33" t="str">
            <v/>
          </cell>
          <cell r="P33">
            <v>0</v>
          </cell>
          <cell r="Q33">
            <v>0.25609024879373987</v>
          </cell>
          <cell r="R33" t="str">
            <v/>
          </cell>
          <cell r="S33">
            <v>0.25609024879373987</v>
          </cell>
          <cell r="T33">
            <v>60</v>
          </cell>
          <cell r="U33" t="str">
            <v>New</v>
          </cell>
          <cell r="X33">
            <v>27.75</v>
          </cell>
          <cell r="Y33">
            <v>0.35499999999999998</v>
          </cell>
          <cell r="Z33">
            <v>-1.9709637491702328</v>
          </cell>
          <cell r="AA33">
            <v>0</v>
          </cell>
          <cell r="AB33">
            <v>-5.1251229611830853</v>
          </cell>
          <cell r="AC33" t="str">
            <v>BS 18-20,100</v>
          </cell>
          <cell r="AE33">
            <v>54.555</v>
          </cell>
          <cell r="AF33" t="str">
            <v>16/30</v>
          </cell>
          <cell r="AG33">
            <v>20</v>
          </cell>
          <cell r="AH33">
            <v>82</v>
          </cell>
          <cell r="AI33">
            <v>420</v>
          </cell>
          <cell r="AJ33">
            <v>3796.5767497348888</v>
          </cell>
          <cell r="AK33">
            <v>1</v>
          </cell>
          <cell r="AL33" t="str">
            <v>0.00000:0.00000!60.00000</v>
          </cell>
          <cell r="AM33">
            <v>0</v>
          </cell>
          <cell r="AN33">
            <v>0</v>
          </cell>
          <cell r="AO33">
            <v>0</v>
          </cell>
          <cell r="AP33">
            <v>60</v>
          </cell>
          <cell r="AQ33">
            <v>60</v>
          </cell>
          <cell r="AR33">
            <v>1</v>
          </cell>
          <cell r="AS33" t="str">
            <v/>
          </cell>
          <cell r="AT33">
            <v>0</v>
          </cell>
          <cell r="AU33" t="str">
            <v/>
          </cell>
          <cell r="AV33">
            <v>1</v>
          </cell>
          <cell r="AW33" t="str">
            <v>PROBLEM FRAC possible? KH prefrac Estimate is at least 50% higher than for a perfect frac</v>
          </cell>
          <cell r="AY33">
            <v>60</v>
          </cell>
        </row>
        <row r="34">
          <cell r="C34" t="str">
            <v>Malo-Balik!3434</v>
          </cell>
          <cell r="E34" t="str">
            <v>3434</v>
          </cell>
          <cell r="F34">
            <v>2741.9</v>
          </cell>
          <cell r="G34">
            <v>36740</v>
          </cell>
          <cell r="H34">
            <v>250.0455412</v>
          </cell>
          <cell r="I34">
            <v>144</v>
          </cell>
          <cell r="J34" t="str">
            <v/>
          </cell>
          <cell r="M34" t="str">
            <v/>
          </cell>
          <cell r="O34" t="str">
            <v/>
          </cell>
          <cell r="P34">
            <v>0</v>
          </cell>
          <cell r="Q34">
            <v>0.17670227166768052</v>
          </cell>
          <cell r="R34" t="str">
            <v/>
          </cell>
          <cell r="S34">
            <v>0.17670227166768052</v>
          </cell>
          <cell r="T34">
            <v>41.400000000000006</v>
          </cell>
          <cell r="U34" t="str">
            <v>New</v>
          </cell>
          <cell r="X34">
            <v>118</v>
          </cell>
          <cell r="Y34">
            <v>0.43859999999999999</v>
          </cell>
          <cell r="Z34">
            <v>-4.2240688106738924</v>
          </cell>
          <cell r="AA34">
            <v>-5.0951599999999999</v>
          </cell>
          <cell r="AB34">
            <v>-4.9922715049162285</v>
          </cell>
          <cell r="AC34" t="str">
            <v>BS-18-20,99</v>
          </cell>
          <cell r="AE34">
            <v>30.7</v>
          </cell>
          <cell r="AF34" t="str">
            <v>16/30</v>
          </cell>
          <cell r="AG34">
            <v>27.6</v>
          </cell>
          <cell r="AH34">
            <v>70</v>
          </cell>
          <cell r="AI34">
            <v>420</v>
          </cell>
          <cell r="AJ34">
            <v>2002.173913043478</v>
          </cell>
          <cell r="AK34">
            <v>1</v>
          </cell>
          <cell r="AL34" t="str">
            <v>1:-5.09516!24.48569</v>
          </cell>
          <cell r="AM34">
            <v>1</v>
          </cell>
          <cell r="AN34">
            <v>-5.0951599999999999</v>
          </cell>
          <cell r="AO34">
            <v>32.240405372630761</v>
          </cell>
          <cell r="AP34">
            <v>24.485690000000002</v>
          </cell>
          <cell r="AQ34">
            <v>41.400000000000006</v>
          </cell>
          <cell r="AR34">
            <v>2.1142634765913</v>
          </cell>
          <cell r="AS34" t="str">
            <v/>
          </cell>
          <cell r="AT34">
            <v>0</v>
          </cell>
          <cell r="AU34" t="str">
            <v/>
          </cell>
          <cell r="AV34">
            <v>0</v>
          </cell>
          <cell r="AW34" t="str">
            <v>Prefrac  kh estimate acceptable</v>
          </cell>
          <cell r="AY34">
            <v>41.400000000000006</v>
          </cell>
        </row>
        <row r="35">
          <cell r="C35" t="str">
            <v>Malo-Balik!3456</v>
          </cell>
          <cell r="E35" t="str">
            <v>3456</v>
          </cell>
          <cell r="F35">
            <v>2833.9</v>
          </cell>
          <cell r="G35">
            <v>36782</v>
          </cell>
          <cell r="H35">
            <v>278</v>
          </cell>
          <cell r="I35">
            <v>144</v>
          </cell>
          <cell r="J35" t="str">
            <v/>
          </cell>
          <cell r="M35" t="str">
            <v/>
          </cell>
          <cell r="O35" t="str">
            <v/>
          </cell>
          <cell r="P35">
            <v>0</v>
          </cell>
          <cell r="Q35">
            <v>0.1184417400671047</v>
          </cell>
          <cell r="R35" t="str">
            <v/>
          </cell>
          <cell r="S35">
            <v>0.1184417400671047</v>
          </cell>
          <cell r="T35">
            <v>27.750000000000004</v>
          </cell>
          <cell r="U35" t="str">
            <v>Old</v>
          </cell>
          <cell r="X35">
            <v>30.5</v>
          </cell>
          <cell r="Y35">
            <v>0.35389999999999999</v>
          </cell>
          <cell r="Z35">
            <v>-4.7065345137085668</v>
          </cell>
          <cell r="AA35">
            <v>-3.96936</v>
          </cell>
          <cell r="AB35">
            <v>-4.8831621601162665</v>
          </cell>
          <cell r="AC35" t="str">
            <v>BS-18-20,79</v>
          </cell>
          <cell r="AE35">
            <v>25.234000000000002</v>
          </cell>
          <cell r="AF35" t="str">
            <v>20/40</v>
          </cell>
          <cell r="AG35">
            <v>18.5</v>
          </cell>
          <cell r="AH35">
            <v>63.6</v>
          </cell>
          <cell r="AI35">
            <v>250</v>
          </cell>
          <cell r="AJ35">
            <v>1456.9660924254852</v>
          </cell>
          <cell r="AK35">
            <v>1</v>
          </cell>
          <cell r="AL35" t="str">
            <v>0.05298:-3.96936!27.75000</v>
          </cell>
          <cell r="AM35">
            <v>5.2979999999999999E-2</v>
          </cell>
          <cell r="AN35">
            <v>-3.96936</v>
          </cell>
          <cell r="AO35">
            <v>0.8091201632778009</v>
          </cell>
          <cell r="AP35">
            <v>27.75</v>
          </cell>
          <cell r="AQ35">
            <v>27.750000000000004</v>
          </cell>
          <cell r="AR35">
            <v>2.2785060988841268</v>
          </cell>
          <cell r="AS35" t="str">
            <v/>
          </cell>
          <cell r="AT35">
            <v>0</v>
          </cell>
          <cell r="AU35" t="str">
            <v/>
          </cell>
          <cell r="AV35">
            <v>1</v>
          </cell>
          <cell r="AW35" t="str">
            <v>PROBLEM FRAC possible? KH prefrac Estimate is at least 50% higher than for a perfect frac</v>
          </cell>
          <cell r="AY35">
            <v>27.750000000000004</v>
          </cell>
        </row>
        <row r="36">
          <cell r="C36" t="str">
            <v>Malo-Balik!3496</v>
          </cell>
          <cell r="E36" t="str">
            <v>3496</v>
          </cell>
          <cell r="F36">
            <v>2891</v>
          </cell>
          <cell r="G36">
            <v>36664</v>
          </cell>
          <cell r="H36">
            <v>259.34538759999998</v>
          </cell>
          <cell r="I36">
            <v>144</v>
          </cell>
          <cell r="J36" t="str">
            <v/>
          </cell>
          <cell r="M36" t="str">
            <v/>
          </cell>
          <cell r="O36" t="str">
            <v/>
          </cell>
          <cell r="P36">
            <v>0</v>
          </cell>
          <cell r="Q36">
            <v>0.17286091793577441</v>
          </cell>
          <cell r="R36" t="str">
            <v/>
          </cell>
          <cell r="S36">
            <v>0.17286091793577441</v>
          </cell>
          <cell r="T36">
            <v>40.499999999999993</v>
          </cell>
          <cell r="U36" t="str">
            <v>New</v>
          </cell>
          <cell r="X36">
            <v>21.33</v>
          </cell>
          <cell r="Y36">
            <v>0.54759999999999998</v>
          </cell>
          <cell r="Z36">
            <v>-4.8409815715638853</v>
          </cell>
          <cell r="AA36">
            <v>-3.9779100000000001</v>
          </cell>
          <cell r="AB36">
            <v>-4.9679604542514033</v>
          </cell>
          <cell r="AC36" t="str">
            <v>BS-18-20,100</v>
          </cell>
          <cell r="AE36">
            <v>47.201000000000001</v>
          </cell>
          <cell r="AF36" t="str">
            <v>16/30</v>
          </cell>
          <cell r="AG36">
            <v>27</v>
          </cell>
          <cell r="AH36">
            <v>63.4</v>
          </cell>
          <cell r="AI36">
            <v>420</v>
          </cell>
          <cell r="AJ36">
            <v>3398.7827458510492</v>
          </cell>
          <cell r="AK36">
            <v>1</v>
          </cell>
          <cell r="AL36" t="str">
            <v>0.02489:-3.97791!40.50000</v>
          </cell>
          <cell r="AM36">
            <v>2.4889999999999999E-2</v>
          </cell>
          <cell r="AN36">
            <v>-3.9779100000000001</v>
          </cell>
          <cell r="AO36">
            <v>0.8895447165534448</v>
          </cell>
          <cell r="AP36">
            <v>40.5</v>
          </cell>
          <cell r="AQ36">
            <v>40.499999999999993</v>
          </cell>
          <cell r="AR36">
            <v>2.2847982084933784</v>
          </cell>
          <cell r="AS36" t="str">
            <v/>
          </cell>
          <cell r="AT36">
            <v>0</v>
          </cell>
          <cell r="AU36" t="str">
            <v/>
          </cell>
          <cell r="AV36">
            <v>1</v>
          </cell>
          <cell r="AW36" t="str">
            <v>PROBLEM FRAC possible? KH prefrac Estimate is at least 50% higher than for a perfect frac</v>
          </cell>
          <cell r="AY36">
            <v>40.5</v>
          </cell>
        </row>
        <row r="37">
          <cell r="C37" t="str">
            <v>Malo-Balik!3519</v>
          </cell>
          <cell r="E37" t="str">
            <v>3519</v>
          </cell>
          <cell r="F37">
            <v>2742.15</v>
          </cell>
          <cell r="G37">
            <v>36813</v>
          </cell>
          <cell r="H37">
            <v>220</v>
          </cell>
          <cell r="I37">
            <v>144</v>
          </cell>
          <cell r="J37" t="str">
            <v/>
          </cell>
          <cell r="M37" t="str">
            <v/>
          </cell>
          <cell r="O37" t="str">
            <v/>
          </cell>
          <cell r="P37">
            <v>0</v>
          </cell>
          <cell r="Q37">
            <v>0.12292331942099513</v>
          </cell>
          <cell r="R37" t="str">
            <v/>
          </cell>
          <cell r="S37">
            <v>0.12292331942099513</v>
          </cell>
          <cell r="T37">
            <v>28.799999999999997</v>
          </cell>
          <cell r="U37" t="str">
            <v>Old</v>
          </cell>
          <cell r="X37">
            <v>22.33</v>
          </cell>
          <cell r="Y37">
            <v>0.49419999999999997</v>
          </cell>
          <cell r="Z37">
            <v>-5.3145048991782176</v>
          </cell>
          <cell r="AA37">
            <v>-4.4755399999999996</v>
          </cell>
          <cell r="AB37">
            <v>-5.1777515940612311</v>
          </cell>
          <cell r="AC37" t="str">
            <v>BS-18-20,93</v>
          </cell>
          <cell r="AE37">
            <v>34.92</v>
          </cell>
          <cell r="AF37" t="str">
            <v>16/20</v>
          </cell>
          <cell r="AG37">
            <v>19.2</v>
          </cell>
          <cell r="AH37">
            <v>78</v>
          </cell>
          <cell r="AI37">
            <v>420</v>
          </cell>
          <cell r="AJ37">
            <v>2661.2144648829435</v>
          </cell>
          <cell r="AK37">
            <v>1</v>
          </cell>
          <cell r="AL37" t="str">
            <v>0.05832:-4.47554!28.80000</v>
          </cell>
          <cell r="AM37">
            <v>5.8319999999999997E-2</v>
          </cell>
          <cell r="AN37">
            <v>-4.4755399999999996</v>
          </cell>
          <cell r="AO37">
            <v>1.3265130563416516</v>
          </cell>
          <cell r="AP37">
            <v>28.8</v>
          </cell>
          <cell r="AQ37">
            <v>28.799999999999997</v>
          </cell>
          <cell r="AR37">
            <v>2.7223512207790366</v>
          </cell>
          <cell r="AS37" t="str">
            <v/>
          </cell>
          <cell r="AT37">
            <v>0</v>
          </cell>
          <cell r="AU37" t="str">
            <v/>
          </cell>
          <cell r="AV37">
            <v>1</v>
          </cell>
          <cell r="AW37" t="str">
            <v>PROBLEM FRAC possible? KH prefrac Estimate is at least 50% higher than for a perfect frac</v>
          </cell>
          <cell r="AY37">
            <v>28.8</v>
          </cell>
        </row>
        <row r="38">
          <cell r="C38" t="str">
            <v>Malo-Balik!3527</v>
          </cell>
          <cell r="E38" t="str">
            <v>3527</v>
          </cell>
          <cell r="F38">
            <v>2769</v>
          </cell>
          <cell r="G38">
            <v>36805</v>
          </cell>
          <cell r="H38">
            <v>240</v>
          </cell>
          <cell r="I38">
            <v>144</v>
          </cell>
          <cell r="J38" t="str">
            <v/>
          </cell>
          <cell r="M38" t="str">
            <v/>
          </cell>
          <cell r="O38" t="str">
            <v/>
          </cell>
          <cell r="P38">
            <v>0</v>
          </cell>
          <cell r="Q38">
            <v>9.4753392053683758E-2</v>
          </cell>
          <cell r="R38" t="str">
            <v/>
          </cell>
          <cell r="S38">
            <v>9.4753392053683758E-2</v>
          </cell>
          <cell r="T38">
            <v>22.2</v>
          </cell>
          <cell r="U38" t="str">
            <v>Old</v>
          </cell>
          <cell r="X38">
            <v>21.75</v>
          </cell>
          <cell r="Y38">
            <v>0.43880000000000002</v>
          </cell>
          <cell r="Z38">
            <v>-5.5464939254586989</v>
          </cell>
          <cell r="AA38">
            <v>-5.1989799999999997</v>
          </cell>
          <cell r="AB38">
            <v>-5.0537466999356973</v>
          </cell>
          <cell r="AC38" t="str">
            <v>BS-18-20,100</v>
          </cell>
          <cell r="AE38">
            <v>24.609000000000002</v>
          </cell>
          <cell r="AF38" t="str">
            <v>20/40</v>
          </cell>
          <cell r="AG38">
            <v>14.8</v>
          </cell>
          <cell r="AH38">
            <v>79.8</v>
          </cell>
          <cell r="AI38">
            <v>250</v>
          </cell>
          <cell r="AJ38">
            <v>1415.5380556267282</v>
          </cell>
          <cell r="AK38">
            <v>1</v>
          </cell>
          <cell r="AL38" t="str">
            <v>1:-5.19898!12.75972</v>
          </cell>
          <cell r="AM38">
            <v>1</v>
          </cell>
          <cell r="AN38">
            <v>-5.1989799999999997</v>
          </cell>
          <cell r="AO38">
            <v>20.574970881774348</v>
          </cell>
          <cell r="AP38">
            <v>12.75972</v>
          </cell>
          <cell r="AQ38">
            <v>22.2</v>
          </cell>
          <cell r="AR38">
            <v>2.1684004493140994</v>
          </cell>
          <cell r="AS38" t="str">
            <v/>
          </cell>
          <cell r="AT38">
            <v>0</v>
          </cell>
          <cell r="AU38" t="str">
            <v/>
          </cell>
          <cell r="AV38">
            <v>0</v>
          </cell>
          <cell r="AW38" t="str">
            <v>Prefrac  kh estimate acceptable</v>
          </cell>
          <cell r="AY38">
            <v>22.2</v>
          </cell>
        </row>
        <row r="39">
          <cell r="C39" t="str">
            <v>Malo-Balik!3528</v>
          </cell>
          <cell r="E39" t="str">
            <v>3528</v>
          </cell>
          <cell r="F39">
            <v>2728.1</v>
          </cell>
          <cell r="G39">
            <v>36801</v>
          </cell>
          <cell r="H39">
            <v>270</v>
          </cell>
          <cell r="I39">
            <v>144</v>
          </cell>
          <cell r="J39" t="str">
            <v/>
          </cell>
          <cell r="M39" t="str">
            <v/>
          </cell>
          <cell r="O39" t="str">
            <v/>
          </cell>
          <cell r="P39">
            <v>0</v>
          </cell>
          <cell r="Q39">
            <v>0.17243410085445152</v>
          </cell>
          <cell r="R39" t="str">
            <v/>
          </cell>
          <cell r="S39">
            <v>0.17243410085445152</v>
          </cell>
          <cell r="T39">
            <v>40.4</v>
          </cell>
          <cell r="U39" t="str">
            <v>New</v>
          </cell>
          <cell r="X39">
            <v>18.5</v>
          </cell>
          <cell r="Y39">
            <v>0.41860000000000003</v>
          </cell>
          <cell r="Z39">
            <v>-4.1600308095064973</v>
          </cell>
          <cell r="AA39">
            <v>-3.3178800000000002</v>
          </cell>
          <cell r="AB39">
            <v>-4.984357777645581</v>
          </cell>
          <cell r="AC39" t="str">
            <v>BS-18-20,100</v>
          </cell>
          <cell r="AE39">
            <v>31.123999999999999</v>
          </cell>
          <cell r="AF39" t="str">
            <v>20/40</v>
          </cell>
          <cell r="AG39">
            <v>20.2</v>
          </cell>
          <cell r="AH39">
            <v>82.5</v>
          </cell>
          <cell r="AI39">
            <v>250</v>
          </cell>
          <cell r="AJ39">
            <v>1268.7681811659429</v>
          </cell>
          <cell r="AK39">
            <v>1</v>
          </cell>
          <cell r="AL39" t="str">
            <v>0.03436:-3.31788!40.40000</v>
          </cell>
          <cell r="AM39">
            <v>3.4360000000000002E-2</v>
          </cell>
          <cell r="AN39">
            <v>-3.3178800000000002</v>
          </cell>
          <cell r="AO39">
            <v>0.26421136184764726</v>
          </cell>
          <cell r="AP39">
            <v>40.4</v>
          </cell>
          <cell r="AQ39">
            <v>40.4</v>
          </cell>
          <cell r="AR39">
            <v>1.8833155910602641</v>
          </cell>
          <cell r="AS39" t="str">
            <v/>
          </cell>
          <cell r="AT39">
            <v>0</v>
          </cell>
          <cell r="AU39" t="str">
            <v/>
          </cell>
          <cell r="AV39">
            <v>1</v>
          </cell>
          <cell r="AW39" t="str">
            <v>PROBLEM FRAC possible? KH prefrac Estimate is at least 50% higher than for a perfect frac</v>
          </cell>
          <cell r="AY39">
            <v>40.4</v>
          </cell>
        </row>
        <row r="40">
          <cell r="C40" t="str">
            <v>Malo-Balik!3543</v>
          </cell>
          <cell r="E40" t="str">
            <v>3543</v>
          </cell>
          <cell r="F40">
            <v>2758.55</v>
          </cell>
          <cell r="G40">
            <v>36818</v>
          </cell>
          <cell r="H40">
            <v>220</v>
          </cell>
          <cell r="I40">
            <v>144</v>
          </cell>
          <cell r="J40" t="str">
            <v/>
          </cell>
          <cell r="M40" t="str">
            <v/>
          </cell>
          <cell r="O40" t="str">
            <v/>
          </cell>
          <cell r="P40">
            <v>0</v>
          </cell>
          <cell r="Q40">
            <v>0.19531149641335899</v>
          </cell>
          <cell r="R40" t="str">
            <v/>
          </cell>
          <cell r="S40">
            <v>0.19531149641335899</v>
          </cell>
          <cell r="T40">
            <v>45.760000000000012</v>
          </cell>
          <cell r="U40" t="str">
            <v>Old</v>
          </cell>
          <cell r="X40">
            <v>27.8</v>
          </cell>
          <cell r="Y40">
            <v>0.43009999999999998</v>
          </cell>
          <cell r="Z40">
            <v>-3.8616709537130802</v>
          </cell>
          <cell r="AA40">
            <v>-3.15496</v>
          </cell>
          <cell r="AB40">
            <v>-4.8676470612384479</v>
          </cell>
          <cell r="AC40" t="str">
            <v>BS17-20,95</v>
          </cell>
          <cell r="AE40">
            <v>38.229999999999997</v>
          </cell>
          <cell r="AF40" t="str">
            <v>16/30</v>
          </cell>
          <cell r="AG40">
            <v>35.200000000000003</v>
          </cell>
          <cell r="AH40">
            <v>58</v>
          </cell>
          <cell r="AI40">
            <v>420</v>
          </cell>
          <cell r="AJ40">
            <v>3009.1079460269862</v>
          </cell>
          <cell r="AK40">
            <v>1</v>
          </cell>
          <cell r="AL40" t="str">
            <v>0.01155:-3.15496!45.76000</v>
          </cell>
          <cell r="AM40">
            <v>1.155E-2</v>
          </cell>
          <cell r="AN40">
            <v>-3.15496</v>
          </cell>
          <cell r="AO40">
            <v>0.46094425433172009</v>
          </cell>
          <cell r="AP40">
            <v>45.76</v>
          </cell>
          <cell r="AQ40">
            <v>45.760000000000012</v>
          </cell>
          <cell r="AR40">
            <v>1.8050244345902133</v>
          </cell>
          <cell r="AS40" t="str">
            <v/>
          </cell>
          <cell r="AT40">
            <v>0</v>
          </cell>
          <cell r="AU40" t="str">
            <v/>
          </cell>
          <cell r="AV40">
            <v>1</v>
          </cell>
          <cell r="AW40" t="str">
            <v>PROBLEM FRAC possible? KH prefrac Estimate is at least 50% higher than for a perfect frac</v>
          </cell>
          <cell r="AY40">
            <v>45.760000000000012</v>
          </cell>
        </row>
        <row r="41">
          <cell r="C41" t="str">
            <v>Malo-Balik!3549</v>
          </cell>
          <cell r="E41" t="str">
            <v>3549</v>
          </cell>
          <cell r="F41">
            <v>3076.1</v>
          </cell>
          <cell r="G41">
            <v>36783</v>
          </cell>
          <cell r="H41">
            <v>278</v>
          </cell>
          <cell r="I41">
            <v>144</v>
          </cell>
          <cell r="J41" t="str">
            <v/>
          </cell>
          <cell r="M41" t="str">
            <v/>
          </cell>
          <cell r="O41" t="str">
            <v/>
          </cell>
          <cell r="P41">
            <v>0</v>
          </cell>
          <cell r="Q41">
            <v>0.12292331942099514</v>
          </cell>
          <cell r="R41" t="str">
            <v/>
          </cell>
          <cell r="S41">
            <v>0.12292331942099514</v>
          </cell>
          <cell r="T41">
            <v>28.799999999999997</v>
          </cell>
          <cell r="U41" t="str">
            <v>Old</v>
          </cell>
          <cell r="X41">
            <v>29.5</v>
          </cell>
          <cell r="Y41">
            <v>0.53749999999999998</v>
          </cell>
          <cell r="Z41">
            <v>-5.4562502575701437</v>
          </cell>
          <cell r="AA41">
            <v>-5.1955099999999996</v>
          </cell>
          <cell r="AB41">
            <v>-5.1746568562459361</v>
          </cell>
          <cell r="AC41" t="str">
            <v>BS-18-20,100</v>
          </cell>
          <cell r="AE41">
            <v>38.369999999999997</v>
          </cell>
          <cell r="AF41" t="str">
            <v>16/20</v>
          </cell>
          <cell r="AG41">
            <v>14.4</v>
          </cell>
          <cell r="AH41">
            <v>77.099999999999994</v>
          </cell>
          <cell r="AI41">
            <v>420</v>
          </cell>
          <cell r="AJ41">
            <v>3944.3586815541644</v>
          </cell>
          <cell r="AK41">
            <v>1</v>
          </cell>
          <cell r="AL41" t="str">
            <v>1:-5.19551!20.83248</v>
          </cell>
          <cell r="AM41">
            <v>1</v>
          </cell>
          <cell r="AN41">
            <v>-5.1955099999999996</v>
          </cell>
          <cell r="AO41">
            <v>35.362547291574401</v>
          </cell>
          <cell r="AP41">
            <v>20.83248</v>
          </cell>
          <cell r="AQ41">
            <v>28.799999999999997</v>
          </cell>
          <cell r="AR41">
            <v>2.7239356351866859</v>
          </cell>
          <cell r="AS41" t="str">
            <v/>
          </cell>
          <cell r="AT41">
            <v>0</v>
          </cell>
          <cell r="AU41" t="str">
            <v/>
          </cell>
          <cell r="AV41">
            <v>0</v>
          </cell>
          <cell r="AW41" t="str">
            <v>Prefrac  kh estimate acceptable</v>
          </cell>
          <cell r="AY41">
            <v>28.799999999999997</v>
          </cell>
        </row>
        <row r="42">
          <cell r="C42" t="str">
            <v>Malo-Balik!3607</v>
          </cell>
          <cell r="E42" t="str">
            <v>3607</v>
          </cell>
          <cell r="F42">
            <v>2762.15</v>
          </cell>
          <cell r="G42">
            <v>36803</v>
          </cell>
          <cell r="H42">
            <v>220</v>
          </cell>
          <cell r="I42">
            <v>144</v>
          </cell>
          <cell r="J42" t="str">
            <v/>
          </cell>
          <cell r="M42" t="str">
            <v/>
          </cell>
          <cell r="O42" t="str">
            <v/>
          </cell>
          <cell r="P42">
            <v>0</v>
          </cell>
          <cell r="Q42">
            <v>8.4509782101934161E-2</v>
          </cell>
          <cell r="R42" t="str">
            <v/>
          </cell>
          <cell r="S42">
            <v>8.4509782101934161E-2</v>
          </cell>
          <cell r="T42">
            <v>19.799999999999997</v>
          </cell>
          <cell r="U42" t="str">
            <v>Old</v>
          </cell>
          <cell r="X42">
            <v>27.33</v>
          </cell>
          <cell r="Y42">
            <v>0.4209</v>
          </cell>
          <cell r="Z42">
            <v>-5.6536941767947049</v>
          </cell>
          <cell r="AA42">
            <v>-5.0682499999999999</v>
          </cell>
          <cell r="AB42">
            <v>-4.9953157194691098</v>
          </cell>
          <cell r="AC42" t="str">
            <v>BS-18-20,99</v>
          </cell>
          <cell r="AE42">
            <v>31.207000000000001</v>
          </cell>
          <cell r="AF42" t="str">
            <v>20/40</v>
          </cell>
          <cell r="AG42">
            <v>19.8</v>
          </cell>
          <cell r="AH42">
            <v>67.5</v>
          </cell>
          <cell r="AI42">
            <v>250</v>
          </cell>
          <cell r="AJ42">
            <v>1586.2631955627123</v>
          </cell>
          <cell r="AK42">
            <v>1</v>
          </cell>
          <cell r="AL42" t="str">
            <v>1:-5.06825!13.35462</v>
          </cell>
          <cell r="AM42">
            <v>1</v>
          </cell>
          <cell r="AN42">
            <v>-5.0682499999999999</v>
          </cell>
          <cell r="AO42">
            <v>34.842164786298348</v>
          </cell>
          <cell r="AP42">
            <v>13.354620000000001</v>
          </cell>
          <cell r="AQ42">
            <v>19.799999999999997</v>
          </cell>
          <cell r="AR42">
            <v>2.3787426620023866</v>
          </cell>
          <cell r="AS42" t="str">
            <v/>
          </cell>
          <cell r="AT42">
            <v>0</v>
          </cell>
          <cell r="AU42" t="str">
            <v/>
          </cell>
          <cell r="AV42">
            <v>0</v>
          </cell>
          <cell r="AW42" t="str">
            <v>Prefrac  kh estimate acceptable</v>
          </cell>
          <cell r="AY42">
            <v>19.799999999999997</v>
          </cell>
        </row>
        <row r="43">
          <cell r="C43" t="str">
            <v>Malo-Balik!3608</v>
          </cell>
          <cell r="E43" t="str">
            <v>3608</v>
          </cell>
          <cell r="F43">
            <v>2731.3</v>
          </cell>
          <cell r="G43">
            <v>36833</v>
          </cell>
          <cell r="H43">
            <v>278</v>
          </cell>
          <cell r="I43">
            <v>144</v>
          </cell>
          <cell r="J43" t="str">
            <v/>
          </cell>
          <cell r="M43" t="str">
            <v/>
          </cell>
          <cell r="O43" t="str">
            <v/>
          </cell>
          <cell r="P43">
            <v>0</v>
          </cell>
          <cell r="Q43">
            <v>5.5272812031315517E-2</v>
          </cell>
          <cell r="R43" t="str">
            <v/>
          </cell>
          <cell r="S43">
            <v>5.5272812031315517E-2</v>
          </cell>
          <cell r="T43">
            <v>12.95</v>
          </cell>
          <cell r="U43" t="str">
            <v>Old</v>
          </cell>
          <cell r="X43">
            <v>34.33</v>
          </cell>
          <cell r="Y43">
            <v>0.32679999999999998</v>
          </cell>
          <cell r="Z43">
            <v>-5.8775881912145014</v>
          </cell>
          <cell r="AA43">
            <v>-5.3642099999999999</v>
          </cell>
          <cell r="AB43">
            <v>-5.2765495314660749</v>
          </cell>
          <cell r="AC43" t="str">
            <v>BS-18-20,100</v>
          </cell>
          <cell r="AE43">
            <v>20.577000000000002</v>
          </cell>
          <cell r="AF43" t="str">
            <v>16/30</v>
          </cell>
          <cell r="AG43">
            <v>18.5</v>
          </cell>
          <cell r="AH43">
            <v>92.2</v>
          </cell>
          <cell r="AI43">
            <v>420</v>
          </cell>
          <cell r="AJ43">
            <v>1376.8317737713191</v>
          </cell>
          <cell r="AK43">
            <v>1</v>
          </cell>
          <cell r="AL43" t="str">
            <v>1:-5.36421!7.18035</v>
          </cell>
          <cell r="AM43">
            <v>1</v>
          </cell>
          <cell r="AN43">
            <v>-5.3642099999999999</v>
          </cell>
          <cell r="AO43">
            <v>38.474773614681752</v>
          </cell>
          <cell r="AP43">
            <v>7.1803499999999998</v>
          </cell>
          <cell r="AQ43">
            <v>12.95</v>
          </cell>
          <cell r="AR43">
            <v>2.293978093983605</v>
          </cell>
          <cell r="AS43" t="str">
            <v/>
          </cell>
          <cell r="AT43">
            <v>0</v>
          </cell>
          <cell r="AU43" t="str">
            <v/>
          </cell>
          <cell r="AV43">
            <v>0</v>
          </cell>
          <cell r="AW43" t="str">
            <v>Prefrac  kh estimate acceptable</v>
          </cell>
          <cell r="AY43">
            <v>12.95</v>
          </cell>
        </row>
        <row r="44">
          <cell r="C44" t="str">
            <v>Malo-Balik!3609</v>
          </cell>
          <cell r="E44" t="str">
            <v>3609</v>
          </cell>
          <cell r="F44">
            <v>2759.35</v>
          </cell>
          <cell r="G44">
            <v>36821</v>
          </cell>
          <cell r="H44">
            <v>230</v>
          </cell>
          <cell r="I44">
            <v>144</v>
          </cell>
          <cell r="J44" t="str">
            <v/>
          </cell>
          <cell r="M44" t="str">
            <v/>
          </cell>
          <cell r="O44" t="str">
            <v/>
          </cell>
          <cell r="P44">
            <v>0</v>
          </cell>
          <cell r="Q44">
            <v>9.599116158952016E-2</v>
          </cell>
          <cell r="R44" t="str">
            <v/>
          </cell>
          <cell r="S44">
            <v>9.599116158952016E-2</v>
          </cell>
          <cell r="T44">
            <v>22.49</v>
          </cell>
          <cell r="U44" t="str">
            <v>Old</v>
          </cell>
          <cell r="X44">
            <v>28.75</v>
          </cell>
          <cell r="Y44">
            <v>0.438</v>
          </cell>
          <cell r="Z44">
            <v>-5.5237129201718016</v>
          </cell>
          <cell r="AA44">
            <v>-5.0928100000000001</v>
          </cell>
          <cell r="AB44">
            <v>-5.0504440196822156</v>
          </cell>
          <cell r="AC44" t="str">
            <v>BS-16-20,100</v>
          </cell>
          <cell r="AE44">
            <v>37.82</v>
          </cell>
          <cell r="AF44" t="str">
            <v>16/30</v>
          </cell>
          <cell r="AG44">
            <v>17.3</v>
          </cell>
          <cell r="AH44">
            <v>68</v>
          </cell>
          <cell r="AI44">
            <v>420</v>
          </cell>
          <cell r="AJ44">
            <v>3669.1712372307557</v>
          </cell>
          <cell r="AK44">
            <v>1</v>
          </cell>
          <cell r="AL44" t="str">
            <v>1:-5.09281!15.22735</v>
          </cell>
          <cell r="AM44">
            <v>1</v>
          </cell>
          <cell r="AN44">
            <v>-5.0928100000000001</v>
          </cell>
          <cell r="AO44">
            <v>61.302874726852821</v>
          </cell>
          <cell r="AP44">
            <v>15.227349999999999</v>
          </cell>
          <cell r="AQ44">
            <v>22.49</v>
          </cell>
          <cell r="AR44">
            <v>2.4175003285259948</v>
          </cell>
          <cell r="AS44" t="str">
            <v/>
          </cell>
          <cell r="AT44">
            <v>0</v>
          </cell>
          <cell r="AU44" t="str">
            <v/>
          </cell>
          <cell r="AV44">
            <v>0</v>
          </cell>
          <cell r="AW44" t="str">
            <v>Prefrac  kh estimate acceptable</v>
          </cell>
          <cell r="AY44">
            <v>22.49</v>
          </cell>
        </row>
        <row r="45">
          <cell r="C45" t="str">
            <v>Malo-Balik!3613</v>
          </cell>
          <cell r="E45" t="str">
            <v>3613</v>
          </cell>
          <cell r="F45">
            <v>2643.2</v>
          </cell>
          <cell r="G45">
            <v>36723</v>
          </cell>
          <cell r="H45">
            <v>263.11835159999998</v>
          </cell>
          <cell r="I45">
            <v>144</v>
          </cell>
          <cell r="J45" t="str">
            <v/>
          </cell>
          <cell r="M45" t="str">
            <v/>
          </cell>
          <cell r="O45" t="str">
            <v/>
          </cell>
          <cell r="P45">
            <v>0</v>
          </cell>
          <cell r="Q45">
            <v>0.13658146602332794</v>
          </cell>
          <cell r="R45" t="str">
            <v/>
          </cell>
          <cell r="S45">
            <v>0.13658146602332794</v>
          </cell>
          <cell r="T45">
            <v>31.999999999999996</v>
          </cell>
          <cell r="U45" t="str">
            <v>New</v>
          </cell>
          <cell r="X45">
            <v>30</v>
          </cell>
          <cell r="Y45">
            <v>0.3795</v>
          </cell>
          <cell r="Z45">
            <v>-4.5281077371297389</v>
          </cell>
          <cell r="AA45">
            <v>-3.9282900000000001</v>
          </cell>
          <cell r="AB45">
            <v>-5.266132339212116</v>
          </cell>
          <cell r="AC45" t="str">
            <v>BS-18-20,100</v>
          </cell>
          <cell r="AE45">
            <v>27.9</v>
          </cell>
          <cell r="AF45" t="str">
            <v>16/20</v>
          </cell>
          <cell r="AG45">
            <v>16</v>
          </cell>
          <cell r="AH45">
            <v>91.4</v>
          </cell>
          <cell r="AI45">
            <v>420</v>
          </cell>
          <cell r="AJ45">
            <v>2177.4064075730184</v>
          </cell>
          <cell r="AK45">
            <v>1</v>
          </cell>
          <cell r="AL45" t="str">
            <v>0.04041:-3.92829!32.00000</v>
          </cell>
          <cell r="AM45">
            <v>4.0410000000000001E-2</v>
          </cell>
          <cell r="AN45">
            <v>-3.9282900000000001</v>
          </cell>
          <cell r="AO45">
            <v>0.48134022390604853</v>
          </cell>
          <cell r="AP45">
            <v>32</v>
          </cell>
          <cell r="AQ45">
            <v>31.999999999999996</v>
          </cell>
          <cell r="AR45">
            <v>2.2487586406711491</v>
          </cell>
          <cell r="AS45" t="str">
            <v/>
          </cell>
          <cell r="AT45">
            <v>0</v>
          </cell>
          <cell r="AU45" t="str">
            <v/>
          </cell>
          <cell r="AV45">
            <v>1</v>
          </cell>
          <cell r="AW45" t="str">
            <v>PROBLEM FRAC possible? KH prefrac Estimate is at least 50% higher than for a perfect frac</v>
          </cell>
          <cell r="AY45">
            <v>32</v>
          </cell>
        </row>
        <row r="46">
          <cell r="C46" t="str">
            <v>Malo-Balik!3621</v>
          </cell>
          <cell r="E46" t="str">
            <v>3621</v>
          </cell>
          <cell r="F46">
            <v>2726</v>
          </cell>
          <cell r="G46">
            <v>36675</v>
          </cell>
          <cell r="H46">
            <v>265.12720000000002</v>
          </cell>
          <cell r="I46">
            <v>144</v>
          </cell>
          <cell r="J46" t="str">
            <v/>
          </cell>
          <cell r="M46" t="str">
            <v/>
          </cell>
          <cell r="O46" t="str">
            <v/>
          </cell>
          <cell r="P46">
            <v>0</v>
          </cell>
          <cell r="Q46">
            <v>0.11331993509122988</v>
          </cell>
          <cell r="R46" t="str">
            <v/>
          </cell>
          <cell r="S46">
            <v>0.11331993509122988</v>
          </cell>
          <cell r="T46">
            <v>26.549999999999994</v>
          </cell>
          <cell r="U46" t="str">
            <v>New</v>
          </cell>
          <cell r="X46">
            <v>22</v>
          </cell>
          <cell r="Y46">
            <v>0.40749999999999997</v>
          </cell>
          <cell r="Z46">
            <v>-5.1068547598560254</v>
          </cell>
          <cell r="AA46">
            <v>-4.2441500000000003</v>
          </cell>
          <cell r="AB46">
            <v>-5.0978716278741345</v>
          </cell>
          <cell r="AC46" t="str">
            <v>BS-16-21,100</v>
          </cell>
          <cell r="AE46">
            <v>39.99</v>
          </cell>
          <cell r="AF46" t="str">
            <v>16/30</v>
          </cell>
          <cell r="AG46">
            <v>17.7</v>
          </cell>
          <cell r="AH46">
            <v>72.8</v>
          </cell>
          <cell r="AI46">
            <v>420</v>
          </cell>
          <cell r="AJ46">
            <v>3541.9973357519416</v>
          </cell>
          <cell r="AK46">
            <v>1</v>
          </cell>
          <cell r="AL46" t="str">
            <v>0.03091:-4.24415!26.55000</v>
          </cell>
          <cell r="AM46">
            <v>3.091E-2</v>
          </cell>
          <cell r="AN46">
            <v>-4.2441500000000003</v>
          </cell>
          <cell r="AO46">
            <v>1.0025928356052429</v>
          </cell>
          <cell r="AP46">
            <v>26.55</v>
          </cell>
          <cell r="AQ46">
            <v>26.549999999999994</v>
          </cell>
          <cell r="AR46">
            <v>2.4997547555522268</v>
          </cell>
          <cell r="AS46" t="str">
            <v/>
          </cell>
          <cell r="AT46">
            <v>0</v>
          </cell>
          <cell r="AU46" t="str">
            <v/>
          </cell>
          <cell r="AV46">
            <v>1</v>
          </cell>
          <cell r="AW46" t="str">
            <v>PROBLEM FRAC possible? KH prefrac Estimate is at least 50% higher than for a perfect frac</v>
          </cell>
          <cell r="AY46">
            <v>26.55</v>
          </cell>
        </row>
        <row r="47">
          <cell r="C47" t="str">
            <v>Malo-Balik!3633</v>
          </cell>
          <cell r="E47" t="str">
            <v>3633</v>
          </cell>
          <cell r="F47">
            <v>2782.45</v>
          </cell>
          <cell r="G47">
            <v>36719</v>
          </cell>
          <cell r="H47">
            <v>261.69074360000002</v>
          </cell>
          <cell r="I47">
            <v>144</v>
          </cell>
          <cell r="J47" t="str">
            <v/>
          </cell>
          <cell r="M47" t="str">
            <v/>
          </cell>
          <cell r="O47" t="str">
            <v/>
          </cell>
          <cell r="P47">
            <v>0</v>
          </cell>
          <cell r="Q47">
            <v>0.12036241693305774</v>
          </cell>
          <cell r="R47" t="str">
            <v/>
          </cell>
          <cell r="S47">
            <v>0.12036241693305774</v>
          </cell>
          <cell r="T47">
            <v>28.2</v>
          </cell>
          <cell r="U47" t="str">
            <v>New</v>
          </cell>
          <cell r="X47">
            <v>34</v>
          </cell>
          <cell r="Y47">
            <v>0.3322</v>
          </cell>
          <cell r="Z47">
            <v>-4.5109837731611719</v>
          </cell>
          <cell r="AA47">
            <v>-3.8277399999999999</v>
          </cell>
          <cell r="AB47">
            <v>-5.1351355365128315</v>
          </cell>
          <cell r="AC47" t="str">
            <v>BS-18-20,100</v>
          </cell>
          <cell r="AE47">
            <v>22.2</v>
          </cell>
          <cell r="AF47" t="str">
            <v>16/20</v>
          </cell>
          <cell r="AG47">
            <v>18.8</v>
          </cell>
          <cell r="AH47">
            <v>77.2</v>
          </cell>
          <cell r="AI47">
            <v>420</v>
          </cell>
          <cell r="AJ47">
            <v>1745.7389291243476</v>
          </cell>
          <cell r="AK47">
            <v>1</v>
          </cell>
          <cell r="AL47" t="str">
            <v>0.03452:-3.82774!28.20000</v>
          </cell>
          <cell r="AM47">
            <v>3.4520000000000002E-2</v>
          </cell>
          <cell r="AN47">
            <v>-3.8277399999999999</v>
          </cell>
          <cell r="AO47">
            <v>0.52040507628128219</v>
          </cell>
          <cell r="AP47">
            <v>28.2</v>
          </cell>
          <cell r="AQ47">
            <v>28.2</v>
          </cell>
          <cell r="AR47">
            <v>2.1791063403139681</v>
          </cell>
          <cell r="AS47" t="str">
            <v/>
          </cell>
          <cell r="AT47">
            <v>0</v>
          </cell>
          <cell r="AU47" t="str">
            <v/>
          </cell>
          <cell r="AV47">
            <v>1</v>
          </cell>
          <cell r="AW47" t="str">
            <v>PROBLEM FRAC possible? KH prefrac Estimate is at least 50% higher than for a perfect frac</v>
          </cell>
          <cell r="AY47">
            <v>28.2</v>
          </cell>
        </row>
        <row r="48">
          <cell r="C48" t="str">
            <v>Malo-Balik!3635</v>
          </cell>
          <cell r="E48" t="str">
            <v>3635</v>
          </cell>
          <cell r="F48">
            <v>2770.2</v>
          </cell>
          <cell r="G48">
            <v>36812</v>
          </cell>
          <cell r="H48">
            <v>220</v>
          </cell>
          <cell r="I48">
            <v>144</v>
          </cell>
          <cell r="J48" t="str">
            <v/>
          </cell>
          <cell r="M48" t="str">
            <v/>
          </cell>
          <cell r="O48" t="str">
            <v/>
          </cell>
          <cell r="P48">
            <v>0</v>
          </cell>
          <cell r="Q48">
            <v>0.21639626023071018</v>
          </cell>
          <cell r="R48" t="str">
            <v/>
          </cell>
          <cell r="S48">
            <v>0.21639626023071018</v>
          </cell>
          <cell r="T48">
            <v>50.699999999999996</v>
          </cell>
          <cell r="U48" t="str">
            <v>Old</v>
          </cell>
          <cell r="X48">
            <v>25.4</v>
          </cell>
          <cell r="Y48">
            <v>0.61560000000000004</v>
          </cell>
          <cell r="Z48">
            <v>-4.5873710572349875</v>
          </cell>
          <cell r="AA48">
            <v>-3.9020000000000001</v>
          </cell>
          <cell r="AB48">
            <v>-4.9700050989142355</v>
          </cell>
          <cell r="AC48" t="str">
            <v>BS 16-21,100</v>
          </cell>
          <cell r="AE48">
            <v>40.36</v>
          </cell>
          <cell r="AF48" t="str">
            <v>16/20</v>
          </cell>
          <cell r="AG48">
            <v>33.799999999999997</v>
          </cell>
          <cell r="AH48">
            <v>62.6</v>
          </cell>
          <cell r="AI48">
            <v>420</v>
          </cell>
          <cell r="AJ48">
            <v>2943.3254618697047</v>
          </cell>
          <cell r="AK48">
            <v>1</v>
          </cell>
          <cell r="AL48" t="str">
            <v>0.03239:-3.90200!50.70000</v>
          </cell>
          <cell r="AM48">
            <v>3.2390000000000002E-2</v>
          </cell>
          <cell r="AN48">
            <v>-3.9020000000000001</v>
          </cell>
          <cell r="AO48">
            <v>1.0152748850900928</v>
          </cell>
          <cell r="AP48">
            <v>50.7</v>
          </cell>
          <cell r="AQ48">
            <v>50.699999999999996</v>
          </cell>
          <cell r="AR48">
            <v>2.2301208704556772</v>
          </cell>
          <cell r="AS48" t="str">
            <v/>
          </cell>
          <cell r="AT48">
            <v>0</v>
          </cell>
          <cell r="AU48" t="str">
            <v/>
          </cell>
          <cell r="AV48">
            <v>1</v>
          </cell>
          <cell r="AW48" t="str">
            <v>PROBLEM FRAC possible? KH prefrac Estimate is at least 50% higher than for a perfect frac</v>
          </cell>
          <cell r="AY48">
            <v>50.7</v>
          </cell>
        </row>
        <row r="49">
          <cell r="C49" t="str">
            <v>Malo-Balik!3637</v>
          </cell>
          <cell r="E49" t="str">
            <v>3637</v>
          </cell>
          <cell r="F49">
            <v>2770</v>
          </cell>
          <cell r="G49">
            <v>36653</v>
          </cell>
          <cell r="H49">
            <v>264.50517079999997</v>
          </cell>
          <cell r="I49">
            <v>144</v>
          </cell>
          <cell r="J49" t="str">
            <v/>
          </cell>
          <cell r="M49" t="str">
            <v/>
          </cell>
          <cell r="O49" t="str">
            <v/>
          </cell>
          <cell r="P49">
            <v>0</v>
          </cell>
          <cell r="Q49">
            <v>0.2048721990349919</v>
          </cell>
          <cell r="R49" t="str">
            <v/>
          </cell>
          <cell r="S49">
            <v>0.2048721990349919</v>
          </cell>
          <cell r="T49">
            <v>48.000000000000007</v>
          </cell>
          <cell r="U49" t="str">
            <v>New</v>
          </cell>
          <cell r="X49">
            <v>27.5</v>
          </cell>
          <cell r="Y49">
            <v>0.75</v>
          </cell>
          <cell r="Z49">
            <v>-5.1416788610978372</v>
          </cell>
          <cell r="AA49">
            <v>-5.21401</v>
          </cell>
          <cell r="AB49">
            <v>-5.1244772929400044</v>
          </cell>
          <cell r="AC49" t="str">
            <v>BS-18-20,100</v>
          </cell>
          <cell r="AE49">
            <v>50.578000000000003</v>
          </cell>
          <cell r="AF49" t="str">
            <v>16/30</v>
          </cell>
          <cell r="AG49">
            <v>16</v>
          </cell>
          <cell r="AH49">
            <v>79.3</v>
          </cell>
          <cell r="AI49">
            <v>420</v>
          </cell>
          <cell r="AJ49">
            <v>4549.5658342014367</v>
          </cell>
          <cell r="AK49">
            <v>1</v>
          </cell>
          <cell r="AL49" t="str">
            <v>1:-5.21401!30.80767</v>
          </cell>
          <cell r="AM49">
            <v>1</v>
          </cell>
          <cell r="AN49">
            <v>-5.21401</v>
          </cell>
          <cell r="AO49">
            <v>29.795995193032677</v>
          </cell>
          <cell r="AP49">
            <v>30.807670000000002</v>
          </cell>
          <cell r="AQ49">
            <v>48.000000000000007</v>
          </cell>
          <cell r="AR49">
            <v>2.4409795674572705</v>
          </cell>
          <cell r="AS49" t="str">
            <v/>
          </cell>
          <cell r="AT49">
            <v>0</v>
          </cell>
          <cell r="AU49" t="str">
            <v/>
          </cell>
          <cell r="AV49">
            <v>0</v>
          </cell>
          <cell r="AW49" t="str">
            <v>Prefrac  kh estimate acceptable</v>
          </cell>
          <cell r="AY49">
            <v>48.000000000000007</v>
          </cell>
        </row>
        <row r="50">
          <cell r="C50" t="str">
            <v>Malo-Balik!3656</v>
          </cell>
          <cell r="E50" t="str">
            <v>3656</v>
          </cell>
          <cell r="F50">
            <v>2726.9</v>
          </cell>
          <cell r="G50">
            <v>36859</v>
          </cell>
          <cell r="H50">
            <v>278</v>
          </cell>
          <cell r="I50">
            <v>144</v>
          </cell>
          <cell r="J50" t="str">
            <v/>
          </cell>
          <cell r="M50" t="str">
            <v/>
          </cell>
          <cell r="O50" t="str">
            <v/>
          </cell>
          <cell r="P50">
            <v>0</v>
          </cell>
          <cell r="Q50">
            <v>0.11950878277041195</v>
          </cell>
          <cell r="R50" t="str">
            <v/>
          </cell>
          <cell r="S50">
            <v>0.11950878277041195</v>
          </cell>
          <cell r="T50">
            <v>28.000000000000004</v>
          </cell>
          <cell r="U50" t="str">
            <v>Old</v>
          </cell>
          <cell r="X50">
            <v>20</v>
          </cell>
          <cell r="Y50">
            <v>0.51870000000000005</v>
          </cell>
          <cell r="Z50">
            <v>-5.4441816807631289</v>
          </cell>
          <cell r="AA50">
            <v>-4.4541000000000004</v>
          </cell>
          <cell r="AB50">
            <v>-5.1536503462403109</v>
          </cell>
          <cell r="AC50" t="str">
            <v>BS-18-20,100</v>
          </cell>
          <cell r="AE50">
            <v>29.158999999999999</v>
          </cell>
          <cell r="AF50" t="str">
            <v>16/30</v>
          </cell>
          <cell r="AG50">
            <v>28</v>
          </cell>
          <cell r="AH50">
            <v>83.1</v>
          </cell>
          <cell r="AI50">
            <v>420</v>
          </cell>
          <cell r="AJ50">
            <v>1601.8913828284412</v>
          </cell>
          <cell r="AK50">
            <v>1</v>
          </cell>
          <cell r="AL50" t="str">
            <v>0.06677:-4.45410!28.00000</v>
          </cell>
          <cell r="AM50">
            <v>6.6769999999999996E-2</v>
          </cell>
          <cell r="AN50">
            <v>-4.4541000000000004</v>
          </cell>
          <cell r="AO50">
            <v>1.2871033409320702</v>
          </cell>
          <cell r="AP50">
            <v>28</v>
          </cell>
          <cell r="AQ50">
            <v>28.000000000000004</v>
          </cell>
          <cell r="AR50">
            <v>2.7000732005711225</v>
          </cell>
          <cell r="AS50" t="str">
            <v/>
          </cell>
          <cell r="AT50">
            <v>0</v>
          </cell>
          <cell r="AU50" t="str">
            <v/>
          </cell>
          <cell r="AV50">
            <v>1</v>
          </cell>
          <cell r="AW50" t="str">
            <v>PROBLEM FRAC possible? KH prefrac Estimate is at least 50% higher than for a perfect frac</v>
          </cell>
          <cell r="AY50">
            <v>28.000000000000004</v>
          </cell>
        </row>
        <row r="51">
          <cell r="C51" t="str">
            <v>Malo-Balik!3658</v>
          </cell>
          <cell r="E51" t="str">
            <v>3658</v>
          </cell>
          <cell r="F51">
            <v>2678.45</v>
          </cell>
          <cell r="G51">
            <v>36815</v>
          </cell>
          <cell r="H51">
            <v>267.60511960000002</v>
          </cell>
          <cell r="I51">
            <v>144</v>
          </cell>
          <cell r="J51" t="str">
            <v/>
          </cell>
          <cell r="M51" t="str">
            <v/>
          </cell>
          <cell r="O51" t="str">
            <v/>
          </cell>
          <cell r="P51">
            <v>0</v>
          </cell>
          <cell r="Q51">
            <v>0.25609024879373987</v>
          </cell>
          <cell r="R51" t="str">
            <v/>
          </cell>
          <cell r="S51">
            <v>0.25609024879373987</v>
          </cell>
          <cell r="T51">
            <v>60</v>
          </cell>
          <cell r="U51" t="str">
            <v>Old</v>
          </cell>
          <cell r="X51">
            <v>26</v>
          </cell>
          <cell r="Y51">
            <v>1.1041000000000001</v>
          </cell>
          <cell r="Z51">
            <v>-5.433257854984042</v>
          </cell>
          <cell r="AA51">
            <v>-5.0390100000000002</v>
          </cell>
          <cell r="AB51">
            <v>-4.97341142884334</v>
          </cell>
          <cell r="AC51" t="str">
            <v>BS-18-20,100</v>
          </cell>
          <cell r="AE51">
            <v>49</v>
          </cell>
          <cell r="AF51" t="str">
            <v>16/30</v>
          </cell>
          <cell r="AG51">
            <v>20</v>
          </cell>
          <cell r="AH51">
            <v>67</v>
          </cell>
          <cell r="AI51">
            <v>420</v>
          </cell>
          <cell r="AJ51">
            <v>4173.4263465282284</v>
          </cell>
          <cell r="AK51">
            <v>1</v>
          </cell>
          <cell r="AL51" t="str">
            <v>1:-5.03901!56.04741</v>
          </cell>
          <cell r="AM51">
            <v>1</v>
          </cell>
          <cell r="AN51">
            <v>-5.0390100000000002</v>
          </cell>
          <cell r="AO51">
            <v>22.22759105927306</v>
          </cell>
          <cell r="AP51">
            <v>56.047409999999999</v>
          </cell>
          <cell r="AQ51">
            <v>60</v>
          </cell>
          <cell r="AR51">
            <v>3.2471330156175586</v>
          </cell>
          <cell r="AS51" t="str">
            <v/>
          </cell>
          <cell r="AT51">
            <v>0</v>
          </cell>
          <cell r="AU51" t="str">
            <v/>
          </cell>
          <cell r="AV51">
            <v>0</v>
          </cell>
          <cell r="AW51" t="str">
            <v>Prefrac  kh estimate acceptable</v>
          </cell>
          <cell r="AY51">
            <v>60</v>
          </cell>
        </row>
        <row r="52">
          <cell r="C52" t="str">
            <v>Malo-Balik!3661</v>
          </cell>
          <cell r="E52" t="str">
            <v>3661</v>
          </cell>
          <cell r="F52">
            <v>2810</v>
          </cell>
          <cell r="G52">
            <v>36816</v>
          </cell>
          <cell r="H52">
            <v>220</v>
          </cell>
          <cell r="I52">
            <v>144</v>
          </cell>
          <cell r="J52" t="str">
            <v/>
          </cell>
          <cell r="M52" t="str">
            <v/>
          </cell>
          <cell r="O52" t="str">
            <v/>
          </cell>
          <cell r="P52">
            <v>0</v>
          </cell>
          <cell r="Q52">
            <v>0.12804512439686994</v>
          </cell>
          <cell r="R52" t="str">
            <v/>
          </cell>
          <cell r="S52">
            <v>0.12804512439686994</v>
          </cell>
          <cell r="T52">
            <v>30</v>
          </cell>
          <cell r="U52" t="str">
            <v>Old</v>
          </cell>
          <cell r="X52">
            <v>29.8</v>
          </cell>
          <cell r="Y52">
            <v>0.52890000000000004</v>
          </cell>
          <cell r="Z52">
            <v>-5.3614404115950416</v>
          </cell>
          <cell r="AA52">
            <v>-5.1555400000000002</v>
          </cell>
          <cell r="AB52">
            <v>-5.0864639412280024</v>
          </cell>
          <cell r="AC52" t="str">
            <v>BS 16-20,98</v>
          </cell>
          <cell r="AE52">
            <v>37.630000000000003</v>
          </cell>
          <cell r="AF52" t="str">
            <v>16/30</v>
          </cell>
          <cell r="AG52">
            <v>20</v>
          </cell>
          <cell r="AH52">
            <v>73.3</v>
          </cell>
          <cell r="AI52">
            <v>420</v>
          </cell>
          <cell r="AJ52">
            <v>2929.5554303339463</v>
          </cell>
          <cell r="AK52">
            <v>1</v>
          </cell>
          <cell r="AL52" t="str">
            <v>1:-5.15554!17.93033</v>
          </cell>
          <cell r="AM52">
            <v>1</v>
          </cell>
          <cell r="AN52">
            <v>-5.1555400000000002</v>
          </cell>
          <cell r="AO52">
            <v>44.579937792463838</v>
          </cell>
          <cell r="AP52">
            <v>17.930330000000001</v>
          </cell>
          <cell r="AQ52">
            <v>30</v>
          </cell>
          <cell r="AR52">
            <v>2.2037977935623649</v>
          </cell>
          <cell r="AS52" t="str">
            <v/>
          </cell>
          <cell r="AT52">
            <v>0</v>
          </cell>
          <cell r="AU52" t="str">
            <v/>
          </cell>
          <cell r="AV52">
            <v>0</v>
          </cell>
          <cell r="AW52" t="str">
            <v>Prefrac  kh estimate acceptable</v>
          </cell>
          <cell r="AY52">
            <v>30</v>
          </cell>
        </row>
        <row r="53">
          <cell r="C53" t="str">
            <v>Malo-Balik!3665</v>
          </cell>
          <cell r="E53" t="str">
            <v>3665</v>
          </cell>
          <cell r="F53">
            <v>2772.5</v>
          </cell>
          <cell r="G53">
            <v>36840</v>
          </cell>
          <cell r="H53">
            <v>278</v>
          </cell>
          <cell r="I53">
            <v>144</v>
          </cell>
          <cell r="J53" t="str">
            <v/>
          </cell>
          <cell r="M53" t="str">
            <v/>
          </cell>
          <cell r="O53" t="str">
            <v/>
          </cell>
          <cell r="P53">
            <v>0</v>
          </cell>
          <cell r="Q53">
            <v>0.1613368567400561</v>
          </cell>
          <cell r="R53" t="str">
            <v/>
          </cell>
          <cell r="S53">
            <v>0.1613368567400561</v>
          </cell>
          <cell r="T53">
            <v>37.799999999999997</v>
          </cell>
          <cell r="U53" t="str">
            <v>Old</v>
          </cell>
          <cell r="X53">
            <v>27.33</v>
          </cell>
          <cell r="Y53">
            <v>0.3417</v>
          </cell>
          <cell r="Z53">
            <v>-3.7339689027904832</v>
          </cell>
          <cell r="AA53">
            <v>-2.9309400000000001</v>
          </cell>
          <cell r="AB53">
            <v>-5.0068943268331001</v>
          </cell>
          <cell r="AC53" t="str">
            <v>BS-18-20,100</v>
          </cell>
          <cell r="AE53">
            <v>24</v>
          </cell>
          <cell r="AF53" t="str">
            <v>16/30</v>
          </cell>
          <cell r="AG53">
            <v>25.2</v>
          </cell>
          <cell r="AH53">
            <v>74.599999999999994</v>
          </cell>
          <cell r="AI53">
            <v>420</v>
          </cell>
          <cell r="AJ53">
            <v>1468.7026459960368</v>
          </cell>
          <cell r="AK53">
            <v>1</v>
          </cell>
          <cell r="AL53" t="str">
            <v>0.01482:-2.93094!37.80000</v>
          </cell>
          <cell r="AM53">
            <v>1.482E-2</v>
          </cell>
          <cell r="AN53">
            <v>-2.9309400000000001</v>
          </cell>
          <cell r="AO53">
            <v>0.19451450593084241</v>
          </cell>
          <cell r="AP53">
            <v>37.799999999999997</v>
          </cell>
          <cell r="AQ53">
            <v>37.799999999999997</v>
          </cell>
          <cell r="AR53">
            <v>1.707425779673506</v>
          </cell>
          <cell r="AS53" t="str">
            <v/>
          </cell>
          <cell r="AT53">
            <v>0</v>
          </cell>
          <cell r="AU53" t="str">
            <v/>
          </cell>
          <cell r="AV53">
            <v>1</v>
          </cell>
          <cell r="AW53" t="str">
            <v>PROBLEM FRAC possible? KH prefrac Estimate is at least 50% higher than for a perfect frac</v>
          </cell>
          <cell r="AY53">
            <v>37.799999999999997</v>
          </cell>
        </row>
        <row r="54">
          <cell r="C54" t="str">
            <v>Malo-Balik!3678</v>
          </cell>
          <cell r="E54" t="str">
            <v>3678</v>
          </cell>
          <cell r="F54">
            <v>2851.1</v>
          </cell>
          <cell r="G54">
            <v>36859</v>
          </cell>
          <cell r="H54">
            <v>250</v>
          </cell>
          <cell r="I54">
            <v>144</v>
          </cell>
          <cell r="J54" t="str">
            <v/>
          </cell>
          <cell r="M54" t="str">
            <v/>
          </cell>
          <cell r="O54" t="str">
            <v/>
          </cell>
          <cell r="P54">
            <v>0</v>
          </cell>
          <cell r="Q54">
            <v>6.4022562198434968E-2</v>
          </cell>
          <cell r="R54" t="str">
            <v/>
          </cell>
          <cell r="S54">
            <v>6.4022562198434968E-2</v>
          </cell>
          <cell r="T54">
            <v>15</v>
          </cell>
          <cell r="U54" t="str">
            <v>Old</v>
          </cell>
          <cell r="W54" t="str">
            <v>1 data point</v>
          </cell>
          <cell r="X54">
            <v>6</v>
          </cell>
          <cell r="Y54">
            <v>0.1983</v>
          </cell>
          <cell r="Z54">
            <v>-4.7901400566221124</v>
          </cell>
          <cell r="AA54">
            <v>-3.3302399999999999</v>
          </cell>
          <cell r="AB54">
            <v>-5.0041350564874323</v>
          </cell>
          <cell r="AC54" t="str">
            <v>BS-18-20,100</v>
          </cell>
          <cell r="AE54">
            <v>18.565000000000001</v>
          </cell>
          <cell r="AF54" t="str">
            <v>20/40</v>
          </cell>
          <cell r="AG54">
            <v>10</v>
          </cell>
          <cell r="AH54">
            <v>71.3</v>
          </cell>
          <cell r="AI54">
            <v>250</v>
          </cell>
          <cell r="AJ54">
            <v>1768.8769132264163</v>
          </cell>
          <cell r="AK54">
            <v>1</v>
          </cell>
          <cell r="AL54" t="str">
            <v>0.01910:-3.33024!15.00000</v>
          </cell>
          <cell r="AM54">
            <v>1.9099999999999999E-2</v>
          </cell>
          <cell r="AN54">
            <v>-3.3302399999999999</v>
          </cell>
          <cell r="AO54">
            <v>0.31590041180574613</v>
          </cell>
          <cell r="AP54">
            <v>15</v>
          </cell>
          <cell r="AQ54">
            <v>15</v>
          </cell>
          <cell r="AR54">
            <v>1.8895332691765991</v>
          </cell>
          <cell r="AS54" t="str">
            <v/>
          </cell>
          <cell r="AT54">
            <v>0</v>
          </cell>
          <cell r="AU54" t="str">
            <v/>
          </cell>
          <cell r="AV54">
            <v>1</v>
          </cell>
          <cell r="AW54" t="str">
            <v>PROBLEM FRAC possible? KH prefrac Estimate is at least 50% higher than for a perfect frac</v>
          </cell>
          <cell r="AY54">
            <v>15</v>
          </cell>
        </row>
        <row r="55">
          <cell r="C55" t="str">
            <v>Malo-Balik!3698</v>
          </cell>
          <cell r="E55" t="str">
            <v>3698</v>
          </cell>
          <cell r="F55">
            <v>2733.6</v>
          </cell>
          <cell r="G55">
            <v>36876</v>
          </cell>
          <cell r="H55">
            <v>223</v>
          </cell>
          <cell r="I55">
            <v>144</v>
          </cell>
          <cell r="J55" t="str">
            <v/>
          </cell>
          <cell r="M55" t="str">
            <v/>
          </cell>
          <cell r="O55" t="str">
            <v/>
          </cell>
          <cell r="P55">
            <v>0</v>
          </cell>
          <cell r="Q55">
            <v>7.085163549960137E-2</v>
          </cell>
          <cell r="R55" t="str">
            <v/>
          </cell>
          <cell r="S55">
            <v>7.085163549960137E-2</v>
          </cell>
          <cell r="T55">
            <v>16.599999999999998</v>
          </cell>
          <cell r="U55" t="str">
            <v>Old</v>
          </cell>
          <cell r="W55" t="str">
            <v>1 data point</v>
          </cell>
          <cell r="X55">
            <v>3</v>
          </cell>
          <cell r="Y55">
            <v>0.49630000000000002</v>
          </cell>
          <cell r="Z55">
            <v>-6.0641573760213152</v>
          </cell>
          <cell r="AA55">
            <v>-4.4158299999999997</v>
          </cell>
          <cell r="AB55">
            <v>-5.0775446225268492</v>
          </cell>
          <cell r="AC55" t="str">
            <v>BS-18-20,100</v>
          </cell>
          <cell r="AE55">
            <v>38.590000000000003</v>
          </cell>
          <cell r="AF55" t="str">
            <v>20/40</v>
          </cell>
          <cell r="AG55">
            <v>16.600000000000001</v>
          </cell>
          <cell r="AH55">
            <v>71.599999999999994</v>
          </cell>
          <cell r="AI55">
            <v>250</v>
          </cell>
          <cell r="AJ55">
            <v>2205.697029068423</v>
          </cell>
          <cell r="AK55">
            <v>1</v>
          </cell>
          <cell r="AL55" t="str">
            <v>0.04491:-4.41583!16.60000</v>
          </cell>
          <cell r="AM55">
            <v>4.4909999999999999E-2</v>
          </cell>
          <cell r="AN55">
            <v>-4.4158299999999997</v>
          </cell>
          <cell r="AO55">
            <v>1.3834895750762972</v>
          </cell>
          <cell r="AP55">
            <v>16.600000000000001</v>
          </cell>
          <cell r="AQ55">
            <v>16.599999999999998</v>
          </cell>
          <cell r="AR55">
            <v>2.661200587900125</v>
          </cell>
          <cell r="AS55" t="str">
            <v/>
          </cell>
          <cell r="AT55">
            <v>0</v>
          </cell>
          <cell r="AU55" t="str">
            <v/>
          </cell>
          <cell r="AV55">
            <v>1</v>
          </cell>
          <cell r="AW55" t="str">
            <v>PROBLEM FRAC possible? KH prefrac Estimate is at least 50% higher than for a perfect frac</v>
          </cell>
          <cell r="AY55">
            <v>16.600000000000001</v>
          </cell>
        </row>
        <row r="56">
          <cell r="C56" t="str">
            <v>Malo-Balik!3702</v>
          </cell>
          <cell r="E56" t="str">
            <v>3702</v>
          </cell>
          <cell r="F56">
            <v>2825.4</v>
          </cell>
          <cell r="G56">
            <v>36720</v>
          </cell>
          <cell r="H56">
            <v>253.14549</v>
          </cell>
          <cell r="I56">
            <v>144</v>
          </cell>
          <cell r="J56" t="str">
            <v/>
          </cell>
          <cell r="M56" t="str">
            <v/>
          </cell>
          <cell r="O56" t="str">
            <v/>
          </cell>
          <cell r="P56">
            <v>0</v>
          </cell>
          <cell r="Q56">
            <v>0.13188647812877605</v>
          </cell>
          <cell r="R56" t="str">
            <v/>
          </cell>
          <cell r="S56">
            <v>0.13188647812877605</v>
          </cell>
          <cell r="T56">
            <v>30.900000000000002</v>
          </cell>
          <cell r="U56" t="str">
            <v>New</v>
          </cell>
          <cell r="X56">
            <v>33</v>
          </cell>
          <cell r="Y56">
            <v>0.27560000000000001</v>
          </cell>
          <cell r="Z56">
            <v>-3.6888101092134988</v>
          </cell>
          <cell r="AA56">
            <v>-2.96509</v>
          </cell>
          <cell r="AB56">
            <v>-4.7919033128753581</v>
          </cell>
          <cell r="AC56" t="str">
            <v>BS 16-20,84</v>
          </cell>
          <cell r="AE56">
            <v>33.9</v>
          </cell>
          <cell r="AF56" t="str">
            <v>16/30</v>
          </cell>
          <cell r="AG56">
            <v>20.6</v>
          </cell>
          <cell r="AH56">
            <v>51.6</v>
          </cell>
          <cell r="AI56">
            <v>420</v>
          </cell>
          <cell r="AJ56">
            <v>3639.8563813600081</v>
          </cell>
          <cell r="AK56">
            <v>1</v>
          </cell>
          <cell r="AL56" t="str">
            <v>0.00634:-2.96509!30.90000</v>
          </cell>
          <cell r="AM56">
            <v>6.3400000000000001E-3</v>
          </cell>
          <cell r="AN56">
            <v>-2.96509</v>
          </cell>
          <cell r="AO56">
            <v>0.29814844260752521</v>
          </cell>
          <cell r="AP56">
            <v>30.9</v>
          </cell>
          <cell r="AQ56">
            <v>30.900000000000002</v>
          </cell>
          <cell r="AR56">
            <v>1.7216163892156358</v>
          </cell>
          <cell r="AS56" t="str">
            <v/>
          </cell>
          <cell r="AT56">
            <v>0</v>
          </cell>
          <cell r="AU56" t="str">
            <v/>
          </cell>
          <cell r="AV56">
            <v>1</v>
          </cell>
          <cell r="AW56" t="str">
            <v>PROBLEM FRAC possible? KH prefrac Estimate is at least 50% higher than for a perfect frac</v>
          </cell>
          <cell r="AY56">
            <v>30.900000000000002</v>
          </cell>
        </row>
        <row r="57">
          <cell r="C57" t="str">
            <v>Malo-Balik!3721</v>
          </cell>
          <cell r="E57" t="str">
            <v>3721</v>
          </cell>
          <cell r="F57">
            <v>2810.95</v>
          </cell>
          <cell r="G57">
            <v>36719</v>
          </cell>
          <cell r="H57">
            <v>254.1754072</v>
          </cell>
          <cell r="I57">
            <v>144</v>
          </cell>
          <cell r="J57" t="str">
            <v/>
          </cell>
          <cell r="M57" t="str">
            <v/>
          </cell>
          <cell r="O57" t="str">
            <v/>
          </cell>
          <cell r="P57">
            <v>0</v>
          </cell>
          <cell r="Q57">
            <v>0.19036041827001332</v>
          </cell>
          <cell r="R57" t="str">
            <v/>
          </cell>
          <cell r="S57">
            <v>0.19036041827001332</v>
          </cell>
          <cell r="T57">
            <v>44.600000000000009</v>
          </cell>
          <cell r="U57" t="str">
            <v>New</v>
          </cell>
          <cell r="X57">
            <v>34</v>
          </cell>
          <cell r="Y57">
            <v>0.48070000000000002</v>
          </cell>
          <cell r="Z57">
            <v>-4.272676430061777</v>
          </cell>
          <cell r="AA57">
            <v>-3.7170399999999999</v>
          </cell>
          <cell r="AB57">
            <v>-4.9925091679871709</v>
          </cell>
          <cell r="AC57" t="str">
            <v>BS-18-20,100</v>
          </cell>
          <cell r="AE57">
            <v>28.88</v>
          </cell>
          <cell r="AF57" t="str">
            <v>16/30</v>
          </cell>
          <cell r="AG57">
            <v>22.3</v>
          </cell>
          <cell r="AH57">
            <v>72.400000000000006</v>
          </cell>
          <cell r="AI57">
            <v>420</v>
          </cell>
          <cell r="AJ57">
            <v>2041.5274858916202</v>
          </cell>
          <cell r="AK57">
            <v>1</v>
          </cell>
          <cell r="AL57" t="str">
            <v>0.03473:-3.71704!44.60000</v>
          </cell>
          <cell r="AM57">
            <v>3.4729999999999997E-2</v>
          </cell>
          <cell r="AN57">
            <v>-3.7170399999999999</v>
          </cell>
          <cell r="AO57">
            <v>0.48965641978602181</v>
          </cell>
          <cell r="AP57">
            <v>44.6</v>
          </cell>
          <cell r="AQ57">
            <v>44.600000000000009</v>
          </cell>
          <cell r="AR57">
            <v>2.1072485387215236</v>
          </cell>
          <cell r="AS57" t="str">
            <v/>
          </cell>
          <cell r="AT57">
            <v>0</v>
          </cell>
          <cell r="AU57" t="str">
            <v/>
          </cell>
          <cell r="AV57">
            <v>1</v>
          </cell>
          <cell r="AW57" t="str">
            <v>PROBLEM FRAC possible? KH prefrac Estimate is at least 50% higher than for a perfect frac</v>
          </cell>
          <cell r="AY57">
            <v>44.600000000000009</v>
          </cell>
        </row>
        <row r="58">
          <cell r="C58" t="str">
            <v>Malo-Balik!3726</v>
          </cell>
          <cell r="E58" t="str">
            <v>3726</v>
          </cell>
          <cell r="F58">
            <v>2535.6999999999998</v>
          </cell>
          <cell r="G58">
            <v>36720</v>
          </cell>
          <cell r="H58">
            <v>229.3758168</v>
          </cell>
          <cell r="I58">
            <v>144</v>
          </cell>
          <cell r="J58" t="str">
            <v/>
          </cell>
          <cell r="M58" t="str">
            <v/>
          </cell>
          <cell r="O58" t="str">
            <v/>
          </cell>
          <cell r="P58">
            <v>0</v>
          </cell>
          <cell r="Q58">
            <v>0.16688547879725379</v>
          </cell>
          <cell r="R58" t="str">
            <v/>
          </cell>
          <cell r="S58">
            <v>0.16688547879725379</v>
          </cell>
          <cell r="T58">
            <v>39.099999999999987</v>
          </cell>
          <cell r="U58" t="str">
            <v>Old</v>
          </cell>
          <cell r="X58">
            <v>26</v>
          </cell>
          <cell r="Y58">
            <v>0.48089999999999999</v>
          </cell>
          <cell r="Z58">
            <v>-4.619158184789427</v>
          </cell>
          <cell r="AA58">
            <v>-3.86307</v>
          </cell>
          <cell r="AB58">
            <v>-4.8205780584760092</v>
          </cell>
          <cell r="AC58" t="str">
            <v>BS-18-20,36</v>
          </cell>
          <cell r="AE58">
            <v>15.8</v>
          </cell>
          <cell r="AF58" t="str">
            <v>16/30</v>
          </cell>
          <cell r="AG58">
            <v>23</v>
          </cell>
          <cell r="AH58">
            <v>62.6</v>
          </cell>
          <cell r="AI58">
            <v>420</v>
          </cell>
          <cell r="AJ58">
            <v>1252.4384425373089</v>
          </cell>
          <cell r="AK58">
            <v>1</v>
          </cell>
          <cell r="AL58" t="str">
            <v>0.06049:-3.86307!39.10000</v>
          </cell>
          <cell r="AM58">
            <v>6.0490000000000002E-2</v>
          </cell>
          <cell r="AN58">
            <v>-3.86307</v>
          </cell>
          <cell r="AO58">
            <v>0.71189627315431137</v>
          </cell>
          <cell r="AP58">
            <v>39.1</v>
          </cell>
          <cell r="AQ58">
            <v>39.099999999999987</v>
          </cell>
          <cell r="AR58">
            <v>2.2030827969249787</v>
          </cell>
          <cell r="AS58" t="str">
            <v/>
          </cell>
          <cell r="AT58">
            <v>0</v>
          </cell>
          <cell r="AU58" t="str">
            <v/>
          </cell>
          <cell r="AV58">
            <v>1</v>
          </cell>
          <cell r="AW58" t="str">
            <v>PROBLEM FRAC possible? KH prefrac Estimate is at least 50% higher than for a perfect frac</v>
          </cell>
          <cell r="AY58">
            <v>39.1</v>
          </cell>
        </row>
        <row r="59">
          <cell r="C59" t="str">
            <v>Malo-Balik!3736</v>
          </cell>
          <cell r="E59" t="str">
            <v>3736</v>
          </cell>
          <cell r="F59">
            <v>2760.3</v>
          </cell>
          <cell r="G59">
            <v>36843</v>
          </cell>
          <cell r="H59">
            <v>235</v>
          </cell>
          <cell r="I59">
            <v>144</v>
          </cell>
          <cell r="J59" t="str">
            <v/>
          </cell>
          <cell r="M59" t="str">
            <v/>
          </cell>
          <cell r="O59" t="str">
            <v/>
          </cell>
          <cell r="P59">
            <v>0</v>
          </cell>
          <cell r="Q59">
            <v>6.7479780557150454E-2</v>
          </cell>
          <cell r="R59" t="str">
            <v/>
          </cell>
          <cell r="S59">
            <v>6.7479780557150454E-2</v>
          </cell>
          <cell r="T59">
            <v>15.809999999999997</v>
          </cell>
          <cell r="U59" t="str">
            <v>Old</v>
          </cell>
          <cell r="X59">
            <v>24.33</v>
          </cell>
          <cell r="Y59">
            <v>0.41749999999999998</v>
          </cell>
          <cell r="Z59">
            <v>-5.9306805678293024</v>
          </cell>
          <cell r="AA59">
            <v>-5.2922000000000002</v>
          </cell>
          <cell r="AB59">
            <v>-5.2288950055194992</v>
          </cell>
          <cell r="AC59" t="str">
            <v>BS-17-20,100</v>
          </cell>
          <cell r="AE59">
            <v>23</v>
          </cell>
          <cell r="AF59" t="str">
            <v>16/30</v>
          </cell>
          <cell r="AG59">
            <v>9.3000000000000007</v>
          </cell>
          <cell r="AH59">
            <v>87.4</v>
          </cell>
          <cell r="AI59">
            <v>420</v>
          </cell>
          <cell r="AJ59">
            <v>3229.4973056765334</v>
          </cell>
          <cell r="AK59">
            <v>1</v>
          </cell>
          <cell r="AL59" t="str">
            <v>1:-5.29220!14.51259</v>
          </cell>
          <cell r="AM59">
            <v>1</v>
          </cell>
          <cell r="AN59">
            <v>-5.2922000000000002</v>
          </cell>
          <cell r="AO59">
            <v>23.678899618664857</v>
          </cell>
          <cell r="AP59">
            <v>14.512589999999999</v>
          </cell>
          <cell r="AQ59">
            <v>15.809999999999997</v>
          </cell>
          <cell r="AR59">
            <v>3.6442718571497164</v>
          </cell>
          <cell r="AS59" t="str">
            <v/>
          </cell>
          <cell r="AT59">
            <v>0</v>
          </cell>
          <cell r="AU59" t="str">
            <v/>
          </cell>
          <cell r="AV59">
            <v>0</v>
          </cell>
          <cell r="AW59" t="str">
            <v>Prefrac  kh estimate acceptable</v>
          </cell>
          <cell r="AY59">
            <v>15.809999999999997</v>
          </cell>
        </row>
        <row r="60">
          <cell r="C60" t="str">
            <v>Malo-Balik!3751</v>
          </cell>
          <cell r="E60" t="str">
            <v>3751</v>
          </cell>
          <cell r="F60">
            <v>2723.4</v>
          </cell>
          <cell r="G60">
            <v>36732</v>
          </cell>
          <cell r="H60">
            <v>271.02118159999998</v>
          </cell>
          <cell r="I60">
            <v>144</v>
          </cell>
          <cell r="J60" t="str">
            <v/>
          </cell>
          <cell r="M60" t="str">
            <v/>
          </cell>
          <cell r="O60" t="str">
            <v/>
          </cell>
          <cell r="P60">
            <v>0</v>
          </cell>
          <cell r="Q60">
            <v>7.618684901613762E-2</v>
          </cell>
          <cell r="R60" t="str">
            <v/>
          </cell>
          <cell r="S60">
            <v>7.618684901613762E-2</v>
          </cell>
          <cell r="T60">
            <v>17.850000000000001</v>
          </cell>
          <cell r="U60" t="str">
            <v>New</v>
          </cell>
          <cell r="X60">
            <v>77</v>
          </cell>
          <cell r="Y60">
            <v>0.33250000000000002</v>
          </cell>
          <cell r="Z60">
            <v>-5.4531459345786413</v>
          </cell>
          <cell r="AA60">
            <v>-5.31135</v>
          </cell>
          <cell r="AB60">
            <v>-5.2511246602558934</v>
          </cell>
          <cell r="AC60" t="str">
            <v>BS-16-21,100</v>
          </cell>
          <cell r="AE60">
            <v>29.167999999999999</v>
          </cell>
          <cell r="AF60" t="str">
            <v>16/30</v>
          </cell>
          <cell r="AG60">
            <v>11.9</v>
          </cell>
          <cell r="AH60">
            <v>88.5</v>
          </cell>
          <cell r="AI60">
            <v>420</v>
          </cell>
          <cell r="AJ60">
            <v>3160.9519268282106</v>
          </cell>
          <cell r="AK60">
            <v>1</v>
          </cell>
          <cell r="AL60" t="str">
            <v>1:-5.31135!15.68453</v>
          </cell>
          <cell r="AM60">
            <v>1</v>
          </cell>
          <cell r="AN60">
            <v>-5.31135</v>
          </cell>
          <cell r="AO60">
            <v>27.098800793067394</v>
          </cell>
          <cell r="AP60">
            <v>15.684530000000001</v>
          </cell>
          <cell r="AQ60">
            <v>17.850000000000001</v>
          </cell>
          <cell r="AR60">
            <v>3.5263364588138528</v>
          </cell>
          <cell r="AS60" t="str">
            <v/>
          </cell>
          <cell r="AT60">
            <v>0</v>
          </cell>
          <cell r="AU60" t="str">
            <v/>
          </cell>
          <cell r="AV60">
            <v>0</v>
          </cell>
          <cell r="AW60" t="str">
            <v>Prefrac  kh estimate acceptable</v>
          </cell>
          <cell r="AY60">
            <v>17.850000000000001</v>
          </cell>
        </row>
        <row r="61">
          <cell r="C61" t="str">
            <v>Malo-Balik!3754</v>
          </cell>
          <cell r="E61" t="str">
            <v>3754</v>
          </cell>
          <cell r="F61">
            <v>2745.25</v>
          </cell>
          <cell r="G61">
            <v>36721</v>
          </cell>
          <cell r="H61">
            <v>275.8750488</v>
          </cell>
          <cell r="I61">
            <v>144</v>
          </cell>
          <cell r="J61" t="str">
            <v/>
          </cell>
          <cell r="M61" t="str">
            <v/>
          </cell>
          <cell r="O61" t="str">
            <v/>
          </cell>
          <cell r="P61">
            <v>0</v>
          </cell>
          <cell r="Q61">
            <v>0.3105094266624096</v>
          </cell>
          <cell r="R61" t="str">
            <v/>
          </cell>
          <cell r="S61">
            <v>0.3105094266624096</v>
          </cell>
          <cell r="T61">
            <v>72.75</v>
          </cell>
          <cell r="U61" t="str">
            <v>Old</v>
          </cell>
          <cell r="X61">
            <v>33.75</v>
          </cell>
          <cell r="Y61">
            <v>0.34860000000000002</v>
          </cell>
          <cell r="Z61">
            <v>-0.77296175665522249</v>
          </cell>
          <cell r="AA61">
            <v>0</v>
          </cell>
          <cell r="AB61">
            <v>-4.8553101134405789</v>
          </cell>
          <cell r="AC61" t="str">
            <v>BS-18-20,90</v>
          </cell>
          <cell r="AE61">
            <v>26.9</v>
          </cell>
          <cell r="AF61" t="str">
            <v>16/20</v>
          </cell>
          <cell r="AG61">
            <v>48.5</v>
          </cell>
          <cell r="AH61">
            <v>59.1</v>
          </cell>
          <cell r="AI61">
            <v>420</v>
          </cell>
          <cell r="AJ61">
            <v>2077.9077466342969</v>
          </cell>
          <cell r="AK61">
            <v>1</v>
          </cell>
          <cell r="AL61" t="str">
            <v>0.00000:0.00000!72.75000</v>
          </cell>
          <cell r="AM61">
            <v>0</v>
          </cell>
          <cell r="AN61">
            <v>0</v>
          </cell>
          <cell r="AO61">
            <v>0</v>
          </cell>
          <cell r="AP61">
            <v>72.75</v>
          </cell>
          <cell r="AQ61">
            <v>72.75</v>
          </cell>
          <cell r="AR61">
            <v>1</v>
          </cell>
          <cell r="AS61" t="str">
            <v/>
          </cell>
          <cell r="AT61">
            <v>0</v>
          </cell>
          <cell r="AU61" t="str">
            <v/>
          </cell>
          <cell r="AV61">
            <v>1</v>
          </cell>
          <cell r="AW61" t="str">
            <v>PROBLEM FRAC possible? KH prefrac Estimate is at least 50% higher than for a perfect frac</v>
          </cell>
          <cell r="AY61">
            <v>72.75</v>
          </cell>
        </row>
        <row r="62">
          <cell r="C62" t="str">
            <v>Malo-Balik!3757</v>
          </cell>
          <cell r="E62" t="str">
            <v>3757</v>
          </cell>
          <cell r="F62">
            <v>2811.75</v>
          </cell>
          <cell r="G62">
            <v>36778</v>
          </cell>
          <cell r="H62">
            <v>240</v>
          </cell>
          <cell r="I62">
            <v>144</v>
          </cell>
          <cell r="J62" t="str">
            <v/>
          </cell>
          <cell r="M62" t="str">
            <v/>
          </cell>
          <cell r="O62" t="str">
            <v/>
          </cell>
          <cell r="P62">
            <v>0</v>
          </cell>
          <cell r="Q62">
            <v>3.8413537319060984E-2</v>
          </cell>
          <cell r="R62" t="str">
            <v/>
          </cell>
          <cell r="S62">
            <v>3.8413537319060984E-2</v>
          </cell>
          <cell r="T62">
            <v>9</v>
          </cell>
          <cell r="U62" t="str">
            <v>New</v>
          </cell>
          <cell r="X62">
            <v>31</v>
          </cell>
          <cell r="Y62">
            <v>0.53700000000000003</v>
          </cell>
          <cell r="Z62">
            <v>-6.5680141106052998</v>
          </cell>
          <cell r="AA62">
            <v>-5.0123199999999999</v>
          </cell>
          <cell r="AB62">
            <v>-5.0615158391093908</v>
          </cell>
          <cell r="AC62" t="str">
            <v>BS-18-20,100</v>
          </cell>
          <cell r="AE62">
            <v>33.723999999999997</v>
          </cell>
          <cell r="AF62" t="str">
            <v>20/40</v>
          </cell>
          <cell r="AG62">
            <v>6</v>
          </cell>
          <cell r="AH62">
            <v>67.599999999999994</v>
          </cell>
          <cell r="AI62">
            <v>250</v>
          </cell>
          <cell r="AJ62">
            <v>5648.5024869222198</v>
          </cell>
          <cell r="AK62">
            <v>1</v>
          </cell>
          <cell r="AL62" t="str">
            <v>1:-5.01232!35.18933</v>
          </cell>
          <cell r="AM62">
            <v>1</v>
          </cell>
          <cell r="AN62">
            <v>-5.0123199999999999</v>
          </cell>
          <cell r="AO62">
            <v>14.2471133886009</v>
          </cell>
          <cell r="AP62">
            <v>35.189329999999998</v>
          </cell>
          <cell r="AQ62">
            <v>9</v>
          </cell>
          <cell r="AR62">
            <v>13.415455367677735</v>
          </cell>
          <cell r="AS62">
            <v>20.584947268166552</v>
          </cell>
          <cell r="AT62">
            <v>0</v>
          </cell>
          <cell r="AU62" t="str">
            <v/>
          </cell>
          <cell r="AV62">
            <v>0</v>
          </cell>
          <cell r="AW62" t="str">
            <v>Prefrac kh estimate too low by 391%</v>
          </cell>
          <cell r="AY62">
            <v>35.189329999999998</v>
          </cell>
        </row>
        <row r="63">
          <cell r="C63" t="str">
            <v>Malo-Balik!3791</v>
          </cell>
          <cell r="E63" t="str">
            <v>3791</v>
          </cell>
          <cell r="F63">
            <v>2684.8</v>
          </cell>
          <cell r="G63">
            <v>36732</v>
          </cell>
          <cell r="H63">
            <v>258.30527319999999</v>
          </cell>
          <cell r="I63">
            <v>144</v>
          </cell>
          <cell r="J63" t="str">
            <v/>
          </cell>
          <cell r="M63" t="str">
            <v/>
          </cell>
          <cell r="O63" t="str">
            <v/>
          </cell>
          <cell r="P63">
            <v>0</v>
          </cell>
          <cell r="Q63">
            <v>6.2443338997540253E-2</v>
          </cell>
          <cell r="R63" t="str">
            <v/>
          </cell>
          <cell r="S63">
            <v>6.2443338997540253E-2</v>
          </cell>
          <cell r="T63">
            <v>14.630000000000004</v>
          </cell>
          <cell r="U63" t="str">
            <v>New</v>
          </cell>
          <cell r="X63">
            <v>21</v>
          </cell>
          <cell r="Y63">
            <v>0.34899999999999998</v>
          </cell>
          <cell r="Z63">
            <v>-5.8083524488502842</v>
          </cell>
          <cell r="AA63">
            <v>-5.3259999999999996</v>
          </cell>
          <cell r="AB63">
            <v>-5.2996210262326375</v>
          </cell>
          <cell r="AC63" t="str">
            <v>BS-18-20,100</v>
          </cell>
          <cell r="AE63">
            <v>30.2</v>
          </cell>
          <cell r="AF63" t="str">
            <v>16/20</v>
          </cell>
          <cell r="AG63">
            <v>13.3</v>
          </cell>
          <cell r="AH63">
            <v>87.2</v>
          </cell>
          <cell r="AI63">
            <v>420</v>
          </cell>
          <cell r="AJ63">
            <v>2971.9417210757247</v>
          </cell>
          <cell r="AK63">
            <v>1</v>
          </cell>
          <cell r="AL63" t="str">
            <v>1:-5.32600!7.51776</v>
          </cell>
          <cell r="AM63">
            <v>1</v>
          </cell>
          <cell r="AN63">
            <v>-5.3259999999999996</v>
          </cell>
          <cell r="AO63">
            <v>60.295789738564437</v>
          </cell>
          <cell r="AP63">
            <v>7.51776</v>
          </cell>
          <cell r="AQ63">
            <v>14.630000000000004</v>
          </cell>
          <cell r="AR63">
            <v>2.0795010857307181</v>
          </cell>
          <cell r="AS63" t="str">
            <v/>
          </cell>
          <cell r="AT63">
            <v>0</v>
          </cell>
          <cell r="AU63" t="str">
            <v/>
          </cell>
          <cell r="AV63">
            <v>0</v>
          </cell>
          <cell r="AW63" t="str">
            <v>Prefrac  kh estimate acceptable</v>
          </cell>
          <cell r="AY63">
            <v>14.630000000000004</v>
          </cell>
        </row>
        <row r="64">
          <cell r="C64" t="str">
            <v>Malo-Balik!3803</v>
          </cell>
          <cell r="E64" t="str">
            <v>3803</v>
          </cell>
          <cell r="F64">
            <v>2682.1</v>
          </cell>
          <cell r="G64">
            <v>36732</v>
          </cell>
          <cell r="H64">
            <v>264.50517079999997</v>
          </cell>
          <cell r="I64">
            <v>144</v>
          </cell>
          <cell r="J64" t="str">
            <v/>
          </cell>
          <cell r="M64" t="str">
            <v/>
          </cell>
          <cell r="O64" t="str">
            <v/>
          </cell>
          <cell r="P64">
            <v>0</v>
          </cell>
          <cell r="Q64">
            <v>0.18182407664355529</v>
          </cell>
          <cell r="R64" t="str">
            <v/>
          </cell>
          <cell r="S64">
            <v>0.18182407664355529</v>
          </cell>
          <cell r="T64">
            <v>42.6</v>
          </cell>
          <cell r="U64" t="str">
            <v>Old</v>
          </cell>
          <cell r="X64">
            <v>30.17</v>
          </cell>
          <cell r="Y64">
            <v>0.31180000000000002</v>
          </cell>
          <cell r="Z64">
            <v>-2.9488635732104571</v>
          </cell>
          <cell r="AA64">
            <v>-2.2406600000000001</v>
          </cell>
          <cell r="AB64">
            <v>-5.1234342286003489</v>
          </cell>
          <cell r="AC64" t="str">
            <v>BS-16-22,100</v>
          </cell>
          <cell r="AE64">
            <v>32.1</v>
          </cell>
          <cell r="AF64" t="str">
            <v>16/20</v>
          </cell>
          <cell r="AG64">
            <v>28.4</v>
          </cell>
          <cell r="AH64">
            <v>76.400000000000006</v>
          </cell>
          <cell r="AI64">
            <v>420</v>
          </cell>
          <cell r="AJ64">
            <v>1918.1083541998632</v>
          </cell>
          <cell r="AK64">
            <v>1</v>
          </cell>
          <cell r="AL64" t="str">
            <v>0.00628:-2.24066!42.60000</v>
          </cell>
          <cell r="AM64">
            <v>6.28E-3</v>
          </cell>
          <cell r="AN64">
            <v>-2.2406600000000001</v>
          </cell>
          <cell r="AO64">
            <v>0.10511099881653699</v>
          </cell>
          <cell r="AP64">
            <v>42.6</v>
          </cell>
          <cell r="AQ64">
            <v>42.6</v>
          </cell>
          <cell r="AR64">
            <v>1.463579775123949</v>
          </cell>
          <cell r="AS64" t="str">
            <v/>
          </cell>
          <cell r="AT64">
            <v>0</v>
          </cell>
          <cell r="AU64" t="str">
            <v/>
          </cell>
          <cell r="AV64">
            <v>1</v>
          </cell>
          <cell r="AW64" t="str">
            <v>PROBLEM FRAC possible? KH prefrac Estimate is at least 50% higher than for a perfect frac</v>
          </cell>
          <cell r="AY64">
            <v>42.6</v>
          </cell>
        </row>
        <row r="65">
          <cell r="C65" t="str">
            <v>Malo-Balik!3806</v>
          </cell>
          <cell r="E65" t="str">
            <v>3806</v>
          </cell>
          <cell r="F65">
            <v>2822.6</v>
          </cell>
          <cell r="G65">
            <v>36764</v>
          </cell>
          <cell r="H65">
            <v>240</v>
          </cell>
          <cell r="I65">
            <v>144</v>
          </cell>
          <cell r="J65" t="str">
            <v/>
          </cell>
          <cell r="M65" t="str">
            <v/>
          </cell>
          <cell r="O65" t="str">
            <v/>
          </cell>
          <cell r="P65">
            <v>0</v>
          </cell>
          <cell r="Q65">
            <v>0.12676467315290127</v>
          </cell>
          <cell r="R65" t="str">
            <v/>
          </cell>
          <cell r="S65">
            <v>0.12676467315290127</v>
          </cell>
          <cell r="T65">
            <v>29.700000000000006</v>
          </cell>
          <cell r="U65" t="str">
            <v>New</v>
          </cell>
          <cell r="X65">
            <v>38</v>
          </cell>
          <cell r="Y65">
            <v>0.48280000000000001</v>
          </cell>
          <cell r="Z65">
            <v>-5.2166741582573213</v>
          </cell>
          <cell r="AA65">
            <v>-4.6220800000000004</v>
          </cell>
          <cell r="AB65">
            <v>-5.1781309427744393</v>
          </cell>
          <cell r="AC65" t="str">
            <v>BS-18-20,100</v>
          </cell>
          <cell r="AE65">
            <v>36.515999999999998</v>
          </cell>
          <cell r="AF65" t="str">
            <v>20/40</v>
          </cell>
          <cell r="AG65">
            <v>19.8</v>
          </cell>
          <cell r="AH65">
            <v>98.8</v>
          </cell>
          <cell r="AI65">
            <v>250</v>
          </cell>
          <cell r="AJ65">
            <v>1268.0992729619734</v>
          </cell>
          <cell r="AK65">
            <v>1</v>
          </cell>
          <cell r="AL65" t="str">
            <v>0.13513:-4.62208!29.70000</v>
          </cell>
          <cell r="AM65">
            <v>0.13513</v>
          </cell>
          <cell r="AN65">
            <v>-4.6220800000000004</v>
          </cell>
          <cell r="AO65">
            <v>1.1562635273640451</v>
          </cell>
          <cell r="AP65">
            <v>29.7</v>
          </cell>
          <cell r="AQ65">
            <v>29.700000000000006</v>
          </cell>
          <cell r="AR65">
            <v>2.8850506000227334</v>
          </cell>
          <cell r="AS65" t="str">
            <v/>
          </cell>
          <cell r="AT65">
            <v>0</v>
          </cell>
          <cell r="AU65" t="str">
            <v/>
          </cell>
          <cell r="AV65">
            <v>1</v>
          </cell>
          <cell r="AW65" t="str">
            <v>PROBLEM FRAC possible? KH prefrac Estimate is at least 50% higher than for a perfect frac</v>
          </cell>
          <cell r="AY65">
            <v>29.700000000000006</v>
          </cell>
        </row>
        <row r="66">
          <cell r="C66" t="str">
            <v>Malo-Balik!3808</v>
          </cell>
          <cell r="E66" t="str">
            <v>3808</v>
          </cell>
          <cell r="F66">
            <v>2738.4</v>
          </cell>
          <cell r="G66">
            <v>36690</v>
          </cell>
          <cell r="H66">
            <v>233.50568279999999</v>
          </cell>
          <cell r="I66">
            <v>144</v>
          </cell>
          <cell r="J66" t="str">
            <v/>
          </cell>
          <cell r="M66" t="str">
            <v/>
          </cell>
          <cell r="O66" t="str">
            <v/>
          </cell>
          <cell r="P66">
            <v>0</v>
          </cell>
          <cell r="Q66">
            <v>0.10115564827352727</v>
          </cell>
          <cell r="R66" t="str">
            <v/>
          </cell>
          <cell r="S66">
            <v>0.10115564827352727</v>
          </cell>
          <cell r="T66">
            <v>23.700000000000003</v>
          </cell>
          <cell r="U66" t="str">
            <v>New</v>
          </cell>
          <cell r="X66">
            <v>35</v>
          </cell>
          <cell r="Y66">
            <v>0.41889999999999999</v>
          </cell>
          <cell r="Z66">
            <v>-5.3658108469868058</v>
          </cell>
          <cell r="AA66">
            <v>-5.0705999999999998</v>
          </cell>
          <cell r="AB66">
            <v>-5.0301828608118022</v>
          </cell>
          <cell r="AC66" t="str">
            <v>BS 16-20,100</v>
          </cell>
          <cell r="AE66">
            <v>38.6</v>
          </cell>
          <cell r="AF66" t="str">
            <v>16/30</v>
          </cell>
          <cell r="AG66">
            <v>15.8</v>
          </cell>
          <cell r="AH66">
            <v>66.5</v>
          </cell>
          <cell r="AI66">
            <v>420</v>
          </cell>
          <cell r="AJ66">
            <v>4192.8569359557396</v>
          </cell>
          <cell r="AK66">
            <v>1</v>
          </cell>
          <cell r="AL66" t="str">
            <v>1:-5.07060!16.93432</v>
          </cell>
          <cell r="AM66">
            <v>1</v>
          </cell>
          <cell r="AN66">
            <v>-5.0705999999999998</v>
          </cell>
          <cell r="AO66">
            <v>58.827138485099361</v>
          </cell>
          <cell r="AP66">
            <v>16.93432</v>
          </cell>
          <cell r="AQ66">
            <v>23.700000000000003</v>
          </cell>
          <cell r="AR66">
            <v>2.5229558625219162</v>
          </cell>
          <cell r="AS66" t="str">
            <v/>
          </cell>
          <cell r="AT66">
            <v>0</v>
          </cell>
          <cell r="AU66" t="str">
            <v/>
          </cell>
          <cell r="AV66">
            <v>0</v>
          </cell>
          <cell r="AW66" t="str">
            <v>Prefrac  kh estimate acceptable</v>
          </cell>
          <cell r="AY66">
            <v>23.700000000000003</v>
          </cell>
        </row>
        <row r="67">
          <cell r="C67" t="str">
            <v>Malo-Balik!3810</v>
          </cell>
          <cell r="E67" t="str">
            <v>3810</v>
          </cell>
          <cell r="F67">
            <v>2764</v>
          </cell>
          <cell r="G67">
            <v>36757</v>
          </cell>
          <cell r="H67">
            <v>270</v>
          </cell>
          <cell r="I67">
            <v>144</v>
          </cell>
          <cell r="J67" t="str">
            <v/>
          </cell>
          <cell r="M67" t="str">
            <v/>
          </cell>
          <cell r="O67" t="str">
            <v/>
          </cell>
          <cell r="P67">
            <v>0</v>
          </cell>
          <cell r="Q67">
            <v>0.13188647812877605</v>
          </cell>
          <cell r="R67" t="str">
            <v/>
          </cell>
          <cell r="S67">
            <v>0.13188647812877605</v>
          </cell>
          <cell r="T67">
            <v>30.900000000000002</v>
          </cell>
          <cell r="U67" t="str">
            <v>New</v>
          </cell>
          <cell r="X67">
            <v>41.5</v>
          </cell>
          <cell r="Y67">
            <v>0.4098</v>
          </cell>
          <cell r="Z67">
            <v>-4.797396390327366</v>
          </cell>
          <cell r="AA67">
            <v>-4.2102700000000004</v>
          </cell>
          <cell r="AB67">
            <v>-5.0597202214396102</v>
          </cell>
          <cell r="AC67" t="str">
            <v>BS-16-20,100</v>
          </cell>
          <cell r="AE67">
            <v>38.46</v>
          </cell>
          <cell r="AF67" t="str">
            <v>16/30</v>
          </cell>
          <cell r="AG67">
            <v>20.6</v>
          </cell>
          <cell r="AH67">
            <v>70.900000000000006</v>
          </cell>
          <cell r="AI67">
            <v>420</v>
          </cell>
          <cell r="AJ67">
            <v>3005.365496144665</v>
          </cell>
          <cell r="AK67">
            <v>1</v>
          </cell>
          <cell r="AL67" t="str">
            <v>0.03505:-4.21027!30.90000</v>
          </cell>
          <cell r="AM67">
            <v>3.5049999999999998E-2</v>
          </cell>
          <cell r="AN67">
            <v>-4.2102700000000004</v>
          </cell>
          <cell r="AO67">
            <v>0.99048482030907858</v>
          </cell>
          <cell r="AP67">
            <v>30.9</v>
          </cell>
          <cell r="AQ67">
            <v>30.900000000000002</v>
          </cell>
          <cell r="AR67">
            <v>2.4701813214578525</v>
          </cell>
          <cell r="AS67" t="str">
            <v/>
          </cell>
          <cell r="AT67">
            <v>0</v>
          </cell>
          <cell r="AU67" t="str">
            <v/>
          </cell>
          <cell r="AV67">
            <v>1</v>
          </cell>
          <cell r="AW67" t="str">
            <v>PROBLEM FRAC possible? KH prefrac Estimate is at least 50% higher than for a perfect frac</v>
          </cell>
          <cell r="AY67">
            <v>30.900000000000002</v>
          </cell>
        </row>
        <row r="68">
          <cell r="C68" t="str">
            <v>Malo-Balik!3812</v>
          </cell>
          <cell r="E68" t="str">
            <v>3812</v>
          </cell>
          <cell r="F68">
            <v>2765.7</v>
          </cell>
          <cell r="G68">
            <v>36792</v>
          </cell>
          <cell r="H68">
            <v>240</v>
          </cell>
          <cell r="I68">
            <v>144</v>
          </cell>
          <cell r="J68" t="str">
            <v/>
          </cell>
          <cell r="M68" t="str">
            <v/>
          </cell>
          <cell r="O68" t="str">
            <v/>
          </cell>
          <cell r="P68">
            <v>0</v>
          </cell>
          <cell r="Q68">
            <v>0.10499700200543334</v>
          </cell>
          <cell r="R68" t="str">
            <v/>
          </cell>
          <cell r="S68">
            <v>0.10499700200543334</v>
          </cell>
          <cell r="T68">
            <v>24.599999999999998</v>
          </cell>
          <cell r="U68" t="str">
            <v>Old</v>
          </cell>
          <cell r="X68">
            <v>40.25</v>
          </cell>
          <cell r="Y68">
            <v>0.34970000000000001</v>
          </cell>
          <cell r="Z68">
            <v>-4.9500722528110934</v>
          </cell>
          <cell r="AA68">
            <v>-4.3635299999999999</v>
          </cell>
          <cell r="AB68">
            <v>-5.221651749528017</v>
          </cell>
          <cell r="AC68" t="str">
            <v>BS-18-20,100</v>
          </cell>
          <cell r="AE68">
            <v>33.186999999999998</v>
          </cell>
          <cell r="AF68" t="str">
            <v>16/30</v>
          </cell>
          <cell r="AG68">
            <v>16.399999999999999</v>
          </cell>
          <cell r="AH68">
            <v>87.5</v>
          </cell>
          <cell r="AI68">
            <v>420</v>
          </cell>
          <cell r="AJ68">
            <v>2639.4750795334044</v>
          </cell>
          <cell r="AK68">
            <v>1</v>
          </cell>
          <cell r="AL68" t="str">
            <v>0.04568:-4.36353!24.60000</v>
          </cell>
          <cell r="AM68">
            <v>4.5679999999999998E-2</v>
          </cell>
          <cell r="AN68">
            <v>-4.3635299999999999</v>
          </cell>
          <cell r="AO68">
            <v>0.91863787910922579</v>
          </cell>
          <cell r="AP68">
            <v>24.6</v>
          </cell>
          <cell r="AQ68">
            <v>24.599999999999998</v>
          </cell>
          <cell r="AR68">
            <v>2.6098521397855516</v>
          </cell>
          <cell r="AS68" t="str">
            <v/>
          </cell>
          <cell r="AT68">
            <v>0</v>
          </cell>
          <cell r="AU68" t="str">
            <v/>
          </cell>
          <cell r="AV68">
            <v>1</v>
          </cell>
          <cell r="AW68" t="str">
            <v>PROBLEM FRAC possible? KH prefrac Estimate is at least 50% higher than for a perfect frac</v>
          </cell>
          <cell r="AY68">
            <v>24.6</v>
          </cell>
        </row>
        <row r="69">
          <cell r="C69" t="str">
            <v>Malo-Balik!3813</v>
          </cell>
          <cell r="E69" t="str">
            <v>3813</v>
          </cell>
          <cell r="F69">
            <v>2790.3</v>
          </cell>
          <cell r="G69">
            <v>36790</v>
          </cell>
          <cell r="H69">
            <v>230</v>
          </cell>
          <cell r="I69">
            <v>144</v>
          </cell>
          <cell r="J69" t="str">
            <v/>
          </cell>
          <cell r="M69" t="str">
            <v/>
          </cell>
          <cell r="O69" t="str">
            <v/>
          </cell>
          <cell r="P69">
            <v>0</v>
          </cell>
          <cell r="Q69">
            <v>0.10755790449337076</v>
          </cell>
          <cell r="R69" t="str">
            <v/>
          </cell>
          <cell r="S69">
            <v>0.10755790449337076</v>
          </cell>
          <cell r="T69">
            <v>25.200000000000006</v>
          </cell>
          <cell r="U69" t="str">
            <v>Old</v>
          </cell>
          <cell r="X69">
            <v>48</v>
          </cell>
          <cell r="Y69">
            <v>0.35299999999999998</v>
          </cell>
          <cell r="Z69">
            <v>-4.9186081490506499</v>
          </cell>
          <cell r="AA69">
            <v>-4.4173099999999996</v>
          </cell>
          <cell r="AB69">
            <v>-5.1612646712886328</v>
          </cell>
          <cell r="AC69" t="str">
            <v>BS-18-20,100</v>
          </cell>
          <cell r="AE69">
            <v>28.658000000000001</v>
          </cell>
          <cell r="AF69" t="str">
            <v>20/40</v>
          </cell>
          <cell r="AG69">
            <v>16.8</v>
          </cell>
          <cell r="AH69">
            <v>99.2</v>
          </cell>
          <cell r="AI69">
            <v>250</v>
          </cell>
          <cell r="AJ69">
            <v>1168.199764784946</v>
          </cell>
          <cell r="AK69">
            <v>1</v>
          </cell>
          <cell r="AL69" t="str">
            <v>0.10614:-4.41731!25.20000</v>
          </cell>
          <cell r="AM69">
            <v>0.10614</v>
          </cell>
          <cell r="AN69">
            <v>-4.4173099999999996</v>
          </cell>
          <cell r="AO69">
            <v>0.83328442899377786</v>
          </cell>
          <cell r="AP69">
            <v>25.2</v>
          </cell>
          <cell r="AQ69">
            <v>25.200000000000006</v>
          </cell>
          <cell r="AR69">
            <v>2.6626830750023438</v>
          </cell>
          <cell r="AS69" t="str">
            <v/>
          </cell>
          <cell r="AT69">
            <v>0</v>
          </cell>
          <cell r="AU69" t="str">
            <v/>
          </cell>
          <cell r="AV69">
            <v>1</v>
          </cell>
          <cell r="AW69" t="str">
            <v>PROBLEM FRAC possible? KH prefrac Estimate is at least 50% higher than for a perfect frac</v>
          </cell>
          <cell r="AY69">
            <v>25.200000000000006</v>
          </cell>
        </row>
        <row r="70">
          <cell r="C70" t="str">
            <v>Malo-Balik!3878</v>
          </cell>
          <cell r="E70" t="str">
            <v>3878</v>
          </cell>
          <cell r="F70">
            <v>2715.15</v>
          </cell>
          <cell r="G70">
            <v>36761</v>
          </cell>
          <cell r="H70">
            <v>236</v>
          </cell>
          <cell r="I70">
            <v>144</v>
          </cell>
          <cell r="J70" t="str">
            <v/>
          </cell>
          <cell r="M70" t="str">
            <v/>
          </cell>
          <cell r="O70" t="str">
            <v/>
          </cell>
          <cell r="P70">
            <v>0</v>
          </cell>
          <cell r="Q70">
            <v>0.11950878277041195</v>
          </cell>
          <cell r="R70" t="str">
            <v/>
          </cell>
          <cell r="S70">
            <v>0.11950878277041195</v>
          </cell>
          <cell r="T70">
            <v>28.000000000000004</v>
          </cell>
          <cell r="U70" t="str">
            <v>New</v>
          </cell>
          <cell r="X70">
            <v>41</v>
          </cell>
          <cell r="Y70">
            <v>0.41099999999999998</v>
          </cell>
          <cell r="Z70">
            <v>-5.0170858453591531</v>
          </cell>
          <cell r="AA70">
            <v>-5.3242099999999999</v>
          </cell>
          <cell r="AB70">
            <v>-5.1753527035742648</v>
          </cell>
          <cell r="AC70" t="str">
            <v>BS-18-20,100</v>
          </cell>
          <cell r="AE70">
            <v>24.48</v>
          </cell>
          <cell r="AF70" t="str">
            <v>16/30</v>
          </cell>
          <cell r="AG70">
            <v>14</v>
          </cell>
          <cell r="AH70">
            <v>90.5</v>
          </cell>
          <cell r="AI70">
            <v>420</v>
          </cell>
          <cell r="AJ70">
            <v>2205.1405236608216</v>
          </cell>
          <cell r="AK70">
            <v>1</v>
          </cell>
          <cell r="AL70" t="str">
            <v>1:-5.32421!14.49620</v>
          </cell>
          <cell r="AM70">
            <v>1</v>
          </cell>
          <cell r="AN70">
            <v>-5.3242099999999999</v>
          </cell>
          <cell r="AO70">
            <v>23.532147103555282</v>
          </cell>
          <cell r="AP70">
            <v>14.4962</v>
          </cell>
          <cell r="AQ70">
            <v>28.000000000000004</v>
          </cell>
          <cell r="AR70">
            <v>2.0929876764442206</v>
          </cell>
          <cell r="AS70" t="str">
            <v/>
          </cell>
          <cell r="AT70">
            <v>0</v>
          </cell>
          <cell r="AU70" t="str">
            <v/>
          </cell>
          <cell r="AV70">
            <v>0</v>
          </cell>
          <cell r="AW70" t="str">
            <v>Prefrac  kh estimate acceptable</v>
          </cell>
          <cell r="AY70">
            <v>28.000000000000004</v>
          </cell>
        </row>
        <row r="71">
          <cell r="C71" t="str">
            <v>Malo-Balik!4702</v>
          </cell>
          <cell r="E71" t="str">
            <v>4702</v>
          </cell>
          <cell r="F71">
            <v>2785</v>
          </cell>
          <cell r="G71">
            <v>36863</v>
          </cell>
          <cell r="H71">
            <v>220</v>
          </cell>
          <cell r="I71">
            <v>144</v>
          </cell>
          <cell r="J71" t="str">
            <v/>
          </cell>
          <cell r="M71" t="str">
            <v/>
          </cell>
          <cell r="O71" t="str">
            <v/>
          </cell>
          <cell r="P71">
            <v>0</v>
          </cell>
          <cell r="Q71">
            <v>5.4205769328008267E-2</v>
          </cell>
          <cell r="R71" t="str">
            <v/>
          </cell>
          <cell r="S71">
            <v>5.4205769328008267E-2</v>
          </cell>
          <cell r="T71">
            <v>12.699999999999998</v>
          </cell>
          <cell r="U71" t="str">
            <v>Old</v>
          </cell>
          <cell r="X71">
            <v>16</v>
          </cell>
          <cell r="Y71">
            <v>0.31969999999999998</v>
          </cell>
          <cell r="Z71">
            <v>-5.8746274738522466</v>
          </cell>
          <cell r="AA71">
            <v>-5.1601299999999997</v>
          </cell>
          <cell r="AB71">
            <v>-5.116211145619582</v>
          </cell>
          <cell r="AC71" t="str">
            <v>BS-18-20,100</v>
          </cell>
          <cell r="AE71">
            <v>25.67</v>
          </cell>
          <cell r="AF71" t="str">
            <v>16/30</v>
          </cell>
          <cell r="AG71">
            <v>12.7</v>
          </cell>
          <cell r="AH71">
            <v>72.599999999999994</v>
          </cell>
          <cell r="AI71">
            <v>420</v>
          </cell>
          <cell r="AJ71">
            <v>3177.5105321680285</v>
          </cell>
          <cell r="AK71">
            <v>1</v>
          </cell>
          <cell r="AL71" t="str">
            <v>1:-5.16013!7.07004</v>
          </cell>
          <cell r="AM71">
            <v>1</v>
          </cell>
          <cell r="AN71">
            <v>-5.1601299999999997</v>
          </cell>
          <cell r="AO71">
            <v>78.619853114818994</v>
          </cell>
          <cell r="AP71">
            <v>7.0700399999999997</v>
          </cell>
          <cell r="AQ71">
            <v>12.699999999999998</v>
          </cell>
          <cell r="AR71">
            <v>2.0576104391889882</v>
          </cell>
          <cell r="AS71" t="str">
            <v/>
          </cell>
          <cell r="AT71">
            <v>0</v>
          </cell>
          <cell r="AU71" t="str">
            <v/>
          </cell>
          <cell r="AV71">
            <v>0</v>
          </cell>
          <cell r="AW71" t="str">
            <v>Prefrac  kh estimate acceptable</v>
          </cell>
          <cell r="AY71">
            <v>12.699999999999998</v>
          </cell>
        </row>
        <row r="72">
          <cell r="C72" t="str">
            <v>Malo-Balik!4729</v>
          </cell>
          <cell r="E72" t="str">
            <v>4729</v>
          </cell>
          <cell r="F72">
            <v>2772</v>
          </cell>
          <cell r="G72">
            <v>36661</v>
          </cell>
          <cell r="H72">
            <v>327.31992279999997</v>
          </cell>
          <cell r="I72">
            <v>144</v>
          </cell>
          <cell r="J72" t="str">
            <v/>
          </cell>
          <cell r="M72" t="str">
            <v/>
          </cell>
          <cell r="O72" t="str">
            <v/>
          </cell>
          <cell r="P72">
            <v>0</v>
          </cell>
          <cell r="Q72">
            <v>6.9571184255632676E-2</v>
          </cell>
          <cell r="R72" t="str">
            <v/>
          </cell>
          <cell r="S72">
            <v>6.9571184255632676E-2</v>
          </cell>
          <cell r="T72">
            <v>16.300000000000004</v>
          </cell>
          <cell r="U72" t="str">
            <v>New</v>
          </cell>
          <cell r="X72">
            <v>24.33</v>
          </cell>
          <cell r="Y72">
            <v>0.27439999999999998</v>
          </cell>
          <cell r="Z72">
            <v>-5.2804973284433672</v>
          </cell>
          <cell r="AA72">
            <v>-4.3077199999999998</v>
          </cell>
          <cell r="AB72">
            <v>-5.2194004394718245</v>
          </cell>
          <cell r="AC72" t="str">
            <v>BS-18-20,100</v>
          </cell>
          <cell r="AE72">
            <v>37.805999999999997</v>
          </cell>
          <cell r="AF72" t="str">
            <v>16/30</v>
          </cell>
          <cell r="AG72">
            <v>16.3</v>
          </cell>
          <cell r="AH72">
            <v>81.599999999999994</v>
          </cell>
          <cell r="AI72">
            <v>420</v>
          </cell>
          <cell r="AJ72">
            <v>3244.0268385294903</v>
          </cell>
          <cell r="AK72">
            <v>1</v>
          </cell>
          <cell r="AL72" t="str">
            <v>0.02351:-4.30772!16.30000</v>
          </cell>
          <cell r="AM72">
            <v>2.351E-2</v>
          </cell>
          <cell r="AN72">
            <v>-4.3077199999999998</v>
          </cell>
          <cell r="AO72">
            <v>0.93464547762044503</v>
          </cell>
          <cell r="AP72">
            <v>16.3</v>
          </cell>
          <cell r="AQ72">
            <v>16.300000000000004</v>
          </cell>
          <cell r="AR72">
            <v>2.5571989646536935</v>
          </cell>
          <cell r="AS72" t="str">
            <v/>
          </cell>
          <cell r="AT72">
            <v>0</v>
          </cell>
          <cell r="AU72" t="str">
            <v/>
          </cell>
          <cell r="AV72">
            <v>1</v>
          </cell>
          <cell r="AW72" t="str">
            <v>PROBLEM FRAC possible? KH prefrac Estimate is at least 50% higher than for a perfect frac</v>
          </cell>
          <cell r="AY72">
            <v>16.300000000000004</v>
          </cell>
        </row>
        <row r="73">
          <cell r="C73" t="str">
            <v>Malo-Balik!4738</v>
          </cell>
          <cell r="E73" t="str">
            <v>4738</v>
          </cell>
          <cell r="F73">
            <v>2790.05</v>
          </cell>
          <cell r="G73">
            <v>36646</v>
          </cell>
          <cell r="H73">
            <v>254.1754072</v>
          </cell>
          <cell r="I73">
            <v>144</v>
          </cell>
          <cell r="J73" t="str">
            <v/>
          </cell>
          <cell r="M73" t="str">
            <v/>
          </cell>
          <cell r="O73" t="str">
            <v/>
          </cell>
          <cell r="P73">
            <v>0</v>
          </cell>
          <cell r="Q73">
            <v>0.23560302889024068</v>
          </cell>
          <cell r="R73" t="str">
            <v/>
          </cell>
          <cell r="S73">
            <v>0.23560302889024068</v>
          </cell>
          <cell r="T73">
            <v>55.2</v>
          </cell>
          <cell r="U73" t="str">
            <v>New</v>
          </cell>
          <cell r="X73">
            <v>33.5</v>
          </cell>
          <cell r="Y73">
            <v>0.61019999999999996</v>
          </cell>
          <cell r="Z73">
            <v>-4.3427010966205213</v>
          </cell>
          <cell r="AA73">
            <v>-3.9754900000000002</v>
          </cell>
          <cell r="AB73">
            <v>-5.0732372364400522</v>
          </cell>
          <cell r="AC73" t="str">
            <v>BS-18-20,100</v>
          </cell>
          <cell r="AE73">
            <v>48.753999999999998</v>
          </cell>
          <cell r="AF73" t="str">
            <v>16/30</v>
          </cell>
          <cell r="AG73">
            <v>18.399999999999999</v>
          </cell>
          <cell r="AH73">
            <v>76.099999999999994</v>
          </cell>
          <cell r="AI73">
            <v>420</v>
          </cell>
          <cell r="AJ73">
            <v>3973.8296416266535</v>
          </cell>
          <cell r="AK73">
            <v>1</v>
          </cell>
          <cell r="AL73" t="str">
            <v>0.03690:-3.97549!55.20000</v>
          </cell>
          <cell r="AM73">
            <v>3.6900000000000002E-2</v>
          </cell>
          <cell r="AN73">
            <v>-3.9754900000000002</v>
          </cell>
          <cell r="AO73">
            <v>0.64228783957960367</v>
          </cell>
          <cell r="AP73">
            <v>55.2</v>
          </cell>
          <cell r="AQ73">
            <v>55.2</v>
          </cell>
          <cell r="AR73">
            <v>2.2830137606263143</v>
          </cell>
          <cell r="AS73" t="str">
            <v/>
          </cell>
          <cell r="AT73">
            <v>0</v>
          </cell>
          <cell r="AU73" t="str">
            <v/>
          </cell>
          <cell r="AV73">
            <v>1</v>
          </cell>
          <cell r="AW73" t="str">
            <v>PROBLEM FRAC possible? KH prefrac Estimate is at least 50% higher than for a perfect frac</v>
          </cell>
          <cell r="AY73">
            <v>55.2</v>
          </cell>
        </row>
        <row r="74">
          <cell r="C74" t="str">
            <v>Malo-Balik!4785</v>
          </cell>
          <cell r="E74" t="str">
            <v>4785</v>
          </cell>
          <cell r="F74">
            <v>2772.25</v>
          </cell>
          <cell r="G74">
            <v>36682</v>
          </cell>
          <cell r="H74">
            <v>278.97499759999999</v>
          </cell>
          <cell r="I74">
            <v>144</v>
          </cell>
          <cell r="J74" t="str">
            <v/>
          </cell>
          <cell r="M74" t="str">
            <v/>
          </cell>
          <cell r="O74" t="str">
            <v/>
          </cell>
          <cell r="P74">
            <v>0</v>
          </cell>
          <cell r="Q74">
            <v>0.1188258754402953</v>
          </cell>
          <cell r="R74" t="str">
            <v/>
          </cell>
          <cell r="S74">
            <v>0.1188258754402953</v>
          </cell>
          <cell r="T74">
            <v>27.839999999999996</v>
          </cell>
          <cell r="U74" t="str">
            <v>New</v>
          </cell>
          <cell r="X74">
            <v>29</v>
          </cell>
          <cell r="Y74">
            <v>0.3458</v>
          </cell>
          <cell r="Z74">
            <v>-4.6432197814030598</v>
          </cell>
          <cell r="AA74">
            <v>-3.78485</v>
          </cell>
          <cell r="AB74">
            <v>-5.0545270620539986</v>
          </cell>
          <cell r="AC74" t="str">
            <v>BS-18-20,95</v>
          </cell>
          <cell r="AE74">
            <v>45.63</v>
          </cell>
          <cell r="AF74" t="str">
            <v>20/40</v>
          </cell>
          <cell r="AG74">
            <v>23.2</v>
          </cell>
          <cell r="AH74">
            <v>72.8</v>
          </cell>
          <cell r="AI74">
            <v>250</v>
          </cell>
          <cell r="AJ74">
            <v>1835.3685880274149</v>
          </cell>
          <cell r="AK74">
            <v>1</v>
          </cell>
          <cell r="AL74" t="str">
            <v>0.02525:-3.78485!27.84000</v>
          </cell>
          <cell r="AM74">
            <v>2.5250000000000002E-2</v>
          </cell>
          <cell r="AN74">
            <v>-3.78485</v>
          </cell>
          <cell r="AO74">
            <v>0.5304837093371364</v>
          </cell>
          <cell r="AP74">
            <v>27.84</v>
          </cell>
          <cell r="AQ74">
            <v>27.839999999999996</v>
          </cell>
          <cell r="AR74">
            <v>2.1506915329788057</v>
          </cell>
          <cell r="AS74" t="str">
            <v/>
          </cell>
          <cell r="AT74">
            <v>0</v>
          </cell>
          <cell r="AU74" t="str">
            <v/>
          </cell>
          <cell r="AV74">
            <v>1</v>
          </cell>
          <cell r="AW74" t="str">
            <v>PROBLEM FRAC possible? KH prefrac Estimate is at least 50% higher than for a perfect frac</v>
          </cell>
          <cell r="AY74">
            <v>27.84</v>
          </cell>
        </row>
        <row r="75">
          <cell r="C75" t="str">
            <v>Malo-Balik!4793</v>
          </cell>
          <cell r="E75" t="str">
            <v>4793</v>
          </cell>
          <cell r="F75">
            <v>2786.35</v>
          </cell>
          <cell r="G75">
            <v>36761</v>
          </cell>
          <cell r="H75">
            <v>245</v>
          </cell>
          <cell r="I75">
            <v>144</v>
          </cell>
          <cell r="J75" t="str">
            <v/>
          </cell>
          <cell r="M75" t="str">
            <v/>
          </cell>
          <cell r="O75" t="str">
            <v/>
          </cell>
          <cell r="P75">
            <v>0</v>
          </cell>
          <cell r="Q75">
            <v>0.16731229587857671</v>
          </cell>
          <cell r="R75" t="str">
            <v/>
          </cell>
          <cell r="S75">
            <v>0.16731229587857671</v>
          </cell>
          <cell r="T75">
            <v>39.200000000000003</v>
          </cell>
          <cell r="U75" t="str">
            <v>New</v>
          </cell>
          <cell r="X75">
            <v>41</v>
          </cell>
          <cell r="Y75">
            <v>0.41320000000000001</v>
          </cell>
          <cell r="Z75">
            <v>-4.209634396076396</v>
          </cell>
          <cell r="AA75">
            <v>-3.7521900000000001</v>
          </cell>
          <cell r="AB75">
            <v>-5.273173743829318</v>
          </cell>
          <cell r="AC75" t="str">
            <v>BS-18-20,100</v>
          </cell>
          <cell r="AE75">
            <v>36.99</v>
          </cell>
          <cell r="AF75" t="str">
            <v>16/30</v>
          </cell>
          <cell r="AG75">
            <v>19.600000000000001</v>
          </cell>
          <cell r="AH75">
            <v>107</v>
          </cell>
          <cell r="AI75">
            <v>420</v>
          </cell>
          <cell r="AJ75">
            <v>2013.0101004237533</v>
          </cell>
          <cell r="AK75">
            <v>1</v>
          </cell>
          <cell r="AL75" t="str">
            <v>0.03473:-3.75219!39.20000</v>
          </cell>
          <cell r="AM75">
            <v>3.4729999999999997E-2</v>
          </cell>
          <cell r="AN75">
            <v>-3.7521900000000001</v>
          </cell>
          <cell r="AO75">
            <v>0.32669084480241561</v>
          </cell>
          <cell r="AP75">
            <v>39.200000000000003</v>
          </cell>
          <cell r="AQ75">
            <v>39.200000000000003</v>
          </cell>
          <cell r="AR75">
            <v>2.1295462499690885</v>
          </cell>
          <cell r="AS75" t="str">
            <v/>
          </cell>
          <cell r="AT75">
            <v>0</v>
          </cell>
          <cell r="AU75" t="str">
            <v/>
          </cell>
          <cell r="AV75">
            <v>1</v>
          </cell>
          <cell r="AW75" t="str">
            <v>PROBLEM FRAC possible? KH prefrac Estimate is at least 50% higher than for a perfect frac</v>
          </cell>
          <cell r="AY75">
            <v>39.200000000000003</v>
          </cell>
        </row>
        <row r="76">
          <cell r="C76" t="str">
            <v>Malo-Balik!7631</v>
          </cell>
          <cell r="E76" t="str">
            <v>7631</v>
          </cell>
          <cell r="F76">
            <v>2787.2</v>
          </cell>
          <cell r="G76">
            <v>36854</v>
          </cell>
          <cell r="H76">
            <v>220</v>
          </cell>
          <cell r="I76">
            <v>144</v>
          </cell>
          <cell r="J76" t="str">
            <v/>
          </cell>
          <cell r="M76" t="str">
            <v/>
          </cell>
          <cell r="O76" t="str">
            <v/>
          </cell>
          <cell r="P76">
            <v>0</v>
          </cell>
          <cell r="Q76">
            <v>8.8351135833840258E-2</v>
          </cell>
          <cell r="R76" t="str">
            <v/>
          </cell>
          <cell r="S76">
            <v>8.8351135833840258E-2</v>
          </cell>
          <cell r="T76">
            <v>20.700000000000003</v>
          </cell>
          <cell r="U76" t="str">
            <v>Old</v>
          </cell>
          <cell r="X76">
            <v>18</v>
          </cell>
          <cell r="Y76">
            <v>0.78100000000000003</v>
          </cell>
          <cell r="Z76">
            <v>-6.2737899289100687</v>
          </cell>
          <cell r="AA76">
            <v>-4.9201499999999996</v>
          </cell>
          <cell r="AB76">
            <v>-4.917774538998942</v>
          </cell>
          <cell r="AC76" t="str">
            <v>BS-19-20,100</v>
          </cell>
          <cell r="AE76">
            <v>33.057000000000002</v>
          </cell>
          <cell r="AF76" t="str">
            <v>16/30</v>
          </cell>
          <cell r="AG76">
            <v>13.8</v>
          </cell>
          <cell r="AH76">
            <v>58.3</v>
          </cell>
          <cell r="AI76">
            <v>420</v>
          </cell>
          <cell r="AJ76">
            <v>4689.3998839196256</v>
          </cell>
          <cell r="AK76">
            <v>1</v>
          </cell>
          <cell r="AL76" t="str">
            <v>1:-4.92015!38.06168</v>
          </cell>
          <cell r="AM76">
            <v>1</v>
          </cell>
          <cell r="AN76">
            <v>-4.9201499999999996</v>
          </cell>
          <cell r="AO76">
            <v>29.163513603110417</v>
          </cell>
          <cell r="AP76">
            <v>38.061680000000003</v>
          </cell>
          <cell r="AQ76">
            <v>20.700000000000003</v>
          </cell>
          <cell r="AR76">
            <v>6.0389405811605279</v>
          </cell>
          <cell r="AS76">
            <v>5.9332040167035496</v>
          </cell>
          <cell r="AT76">
            <v>0</v>
          </cell>
          <cell r="AU76" t="str">
            <v/>
          </cell>
          <cell r="AV76">
            <v>0</v>
          </cell>
          <cell r="AW76" t="str">
            <v>Prefrac kh estimate too low by 184%</v>
          </cell>
          <cell r="AY76">
            <v>38.061680000000003</v>
          </cell>
        </row>
        <row r="77">
          <cell r="C77" t="str">
            <v>Malo-Balik!7645</v>
          </cell>
          <cell r="E77" t="str">
            <v>7645</v>
          </cell>
          <cell r="F77">
            <v>2761.9</v>
          </cell>
          <cell r="G77">
            <v>36859</v>
          </cell>
          <cell r="H77">
            <v>220</v>
          </cell>
          <cell r="I77">
            <v>144</v>
          </cell>
          <cell r="J77" t="str">
            <v/>
          </cell>
          <cell r="M77" t="str">
            <v/>
          </cell>
          <cell r="O77" t="str">
            <v/>
          </cell>
          <cell r="P77">
            <v>0</v>
          </cell>
          <cell r="Q77">
            <v>0.1434105393244943</v>
          </cell>
          <cell r="R77" t="str">
            <v/>
          </cell>
          <cell r="S77">
            <v>0.1434105393244943</v>
          </cell>
          <cell r="T77">
            <v>33.599999999999994</v>
          </cell>
          <cell r="U77" t="str">
            <v>Old</v>
          </cell>
          <cell r="X77">
            <v>20</v>
          </cell>
          <cell r="Y77">
            <v>0.53620000000000001</v>
          </cell>
          <cell r="Z77">
            <v>-5.1820416214061087</v>
          </cell>
          <cell r="AA77">
            <v>-4.327</v>
          </cell>
          <cell r="AB77">
            <v>-5.2506749126884777</v>
          </cell>
          <cell r="AC77" t="str">
            <v>BS-17-20,100</v>
          </cell>
          <cell r="AE77">
            <v>27.07</v>
          </cell>
          <cell r="AF77" t="str">
            <v>16/30</v>
          </cell>
          <cell r="AG77">
            <v>22.4</v>
          </cell>
          <cell r="AH77">
            <v>113.3</v>
          </cell>
          <cell r="AI77">
            <v>420</v>
          </cell>
          <cell r="AJ77">
            <v>1217.3397386699414</v>
          </cell>
          <cell r="AK77">
            <v>1</v>
          </cell>
          <cell r="AL77" t="str">
            <v>0.08606:-4.32700!33.60000</v>
          </cell>
          <cell r="AM77">
            <v>8.6059999999999998E-2</v>
          </cell>
          <cell r="AN77">
            <v>-4.327</v>
          </cell>
          <cell r="AO77">
            <v>0.61644164701344595</v>
          </cell>
          <cell r="AP77">
            <v>33.6</v>
          </cell>
          <cell r="AQ77">
            <v>33.599999999999994</v>
          </cell>
          <cell r="AR77">
            <v>2.5751465330029961</v>
          </cell>
          <cell r="AS77" t="str">
            <v/>
          </cell>
          <cell r="AT77">
            <v>0</v>
          </cell>
          <cell r="AU77" t="str">
            <v/>
          </cell>
          <cell r="AV77">
            <v>1</v>
          </cell>
          <cell r="AW77" t="str">
            <v>PROBLEM FRAC possible? KH prefrac Estimate is at least 50% higher than for a perfect frac</v>
          </cell>
          <cell r="AY77">
            <v>33.6</v>
          </cell>
        </row>
        <row r="78">
          <cell r="C78" t="str">
            <v>Malo-Balik!7841</v>
          </cell>
          <cell r="E78" t="str">
            <v>7841</v>
          </cell>
          <cell r="F78">
            <v>2796.45</v>
          </cell>
          <cell r="G78">
            <v>36703</v>
          </cell>
          <cell r="H78">
            <v>256.24543879999999</v>
          </cell>
          <cell r="I78">
            <v>144</v>
          </cell>
          <cell r="J78" t="str">
            <v/>
          </cell>
          <cell r="M78" t="str">
            <v/>
          </cell>
          <cell r="O78" t="str">
            <v/>
          </cell>
          <cell r="P78">
            <v>0</v>
          </cell>
          <cell r="Q78">
            <v>4.8657147270810566E-2</v>
          </cell>
          <cell r="R78" t="str">
            <v/>
          </cell>
          <cell r="S78">
            <v>4.8657147270810566E-2</v>
          </cell>
          <cell r="T78">
            <v>11.399999999999997</v>
          </cell>
          <cell r="U78" t="str">
            <v>New</v>
          </cell>
          <cell r="X78">
            <v>22</v>
          </cell>
          <cell r="Y78">
            <v>0.41</v>
          </cell>
          <cell r="Z78">
            <v>-6.2345267460984273</v>
          </cell>
          <cell r="AA78">
            <v>-5.02806</v>
          </cell>
          <cell r="AB78">
            <v>-5.0245421177428558</v>
          </cell>
          <cell r="AC78" t="str">
            <v>BS 16-20,100</v>
          </cell>
          <cell r="AE78">
            <v>38.299999999999997</v>
          </cell>
          <cell r="AF78" t="str">
            <v>16/30</v>
          </cell>
          <cell r="AG78">
            <v>7.6</v>
          </cell>
          <cell r="AH78">
            <v>63.7</v>
          </cell>
          <cell r="AI78">
            <v>420</v>
          </cell>
          <cell r="AJ78">
            <v>9029.1573415143193</v>
          </cell>
          <cell r="AK78">
            <v>1</v>
          </cell>
          <cell r="AL78" t="str">
            <v>1:-5.02806!19.35733</v>
          </cell>
          <cell r="AM78">
            <v>1</v>
          </cell>
          <cell r="AN78">
            <v>-5.02806</v>
          </cell>
          <cell r="AO78">
            <v>55.651378594075339</v>
          </cell>
          <cell r="AP78">
            <v>19.357330000000001</v>
          </cell>
          <cell r="AQ78">
            <v>11.399999999999997</v>
          </cell>
          <cell r="AR78">
            <v>5.8709154078490045</v>
          </cell>
          <cell r="AS78">
            <v>4.9377647845234334</v>
          </cell>
          <cell r="AT78">
            <v>0</v>
          </cell>
          <cell r="AU78" t="str">
            <v/>
          </cell>
          <cell r="AV78">
            <v>0</v>
          </cell>
          <cell r="AW78" t="str">
            <v>Prefrac kh estimate too low by 170%</v>
          </cell>
          <cell r="AY78">
            <v>19.357330000000001</v>
          </cell>
        </row>
        <row r="79">
          <cell r="C79" t="str">
            <v>Mamontovskoe!7277</v>
          </cell>
          <cell r="E79" t="str">
            <v>7277</v>
          </cell>
          <cell r="F79">
            <v>2451.5</v>
          </cell>
          <cell r="G79">
            <v>36515</v>
          </cell>
          <cell r="H79">
            <v>219.04605319999999</v>
          </cell>
          <cell r="I79">
            <v>94.833960000000005</v>
          </cell>
          <cell r="J79">
            <v>97.632000000000005</v>
          </cell>
          <cell r="K79">
            <v>113</v>
          </cell>
          <cell r="L79">
            <v>4</v>
          </cell>
          <cell r="M79">
            <v>96</v>
          </cell>
          <cell r="N79">
            <v>1230</v>
          </cell>
          <cell r="O79">
            <v>122.935</v>
          </cell>
          <cell r="P79">
            <v>0</v>
          </cell>
          <cell r="R79">
            <v>1.1757232517768312</v>
          </cell>
          <cell r="S79">
            <v>1.1757232517768312</v>
          </cell>
          <cell r="T79">
            <v>275.46302695588736</v>
          </cell>
          <cell r="U79" t="str">
            <v>Old</v>
          </cell>
          <cell r="X79">
            <v>111</v>
          </cell>
          <cell r="Y79">
            <v>8.32</v>
          </cell>
          <cell r="Z79">
            <v>-6.0743921191371957</v>
          </cell>
          <cell r="AA79">
            <v>-4.2733299999999996</v>
          </cell>
          <cell r="AB79">
            <v>-4.2066854921868124</v>
          </cell>
          <cell r="AC79" t="str">
            <v>BS-10,100</v>
          </cell>
          <cell r="AE79">
            <v>35.1</v>
          </cell>
          <cell r="AF79" t="str">
            <v>16/30</v>
          </cell>
          <cell r="AG79">
            <v>21.6</v>
          </cell>
          <cell r="AH79">
            <v>55.5</v>
          </cell>
          <cell r="AI79">
            <v>420</v>
          </cell>
          <cell r="AJ79">
            <v>3341.6568742655691</v>
          </cell>
          <cell r="AK79">
            <v>1</v>
          </cell>
          <cell r="AL79" t="str">
            <v>1:-4.27333!771.76037</v>
          </cell>
          <cell r="AM79">
            <v>1</v>
          </cell>
          <cell r="AN79">
            <v>-4.2733299999999996</v>
          </cell>
          <cell r="AO79">
            <v>1.6851561443144549</v>
          </cell>
          <cell r="AP79">
            <v>771.76036999999997</v>
          </cell>
          <cell r="AQ79">
            <v>275.46302695588736</v>
          </cell>
          <cell r="AR79">
            <v>7.0764910925532583</v>
          </cell>
          <cell r="AS79">
            <v>12.745195892739556</v>
          </cell>
          <cell r="AT79">
            <v>0</v>
          </cell>
          <cell r="AU79" t="str">
            <v/>
          </cell>
          <cell r="AV79">
            <v>0</v>
          </cell>
          <cell r="AW79" t="str">
            <v>DAMMAGED formation S =12.7</v>
          </cell>
          <cell r="AY79">
            <v>771.76036999999997</v>
          </cell>
        </row>
        <row r="80">
          <cell r="C80" t="str">
            <v>Petelynskoye!370</v>
          </cell>
          <cell r="E80" t="str">
            <v>370</v>
          </cell>
          <cell r="F80">
            <v>2024.5</v>
          </cell>
          <cell r="G80">
            <v>36838</v>
          </cell>
          <cell r="H80">
            <v>175</v>
          </cell>
          <cell r="I80">
            <v>84</v>
          </cell>
          <cell r="J80" t="str">
            <v/>
          </cell>
          <cell r="M80" t="str">
            <v/>
          </cell>
          <cell r="O80" t="str">
            <v/>
          </cell>
          <cell r="P80">
            <v>0</v>
          </cell>
          <cell r="Q80">
            <v>0.21340854066144987</v>
          </cell>
          <cell r="R80" t="str">
            <v/>
          </cell>
          <cell r="S80">
            <v>0.21340854066144987</v>
          </cell>
          <cell r="T80">
            <v>50</v>
          </cell>
          <cell r="U80" t="str">
            <v>Old</v>
          </cell>
          <cell r="X80">
            <v>34</v>
          </cell>
          <cell r="Y80">
            <v>0.61350000000000005</v>
          </cell>
          <cell r="Z80">
            <v>-4.613309522268203</v>
          </cell>
          <cell r="AA80">
            <v>-4.7699999999999996</v>
          </cell>
          <cell r="AB80">
            <v>-4.700746806694136</v>
          </cell>
          <cell r="AC80" t="str">
            <v>AS-4,100</v>
          </cell>
          <cell r="AE80">
            <v>23.56</v>
          </cell>
          <cell r="AF80" t="str">
            <v>16/30</v>
          </cell>
          <cell r="AG80">
            <v>10</v>
          </cell>
          <cell r="AH80">
            <v>50.4</v>
          </cell>
          <cell r="AI80">
            <v>420</v>
          </cell>
          <cell r="AJ80">
            <v>5335.1449275362311</v>
          </cell>
          <cell r="AK80">
            <v>1</v>
          </cell>
          <cell r="AL80" t="str">
            <v>1:-4.77000!42.93961</v>
          </cell>
          <cell r="AM80">
            <v>1</v>
          </cell>
          <cell r="AN80">
            <v>-4.7699999999999996</v>
          </cell>
          <cell r="AO80">
            <v>24.652308241627811</v>
          </cell>
          <cell r="AP80">
            <v>42.939610000000002</v>
          </cell>
          <cell r="AQ80">
            <v>50</v>
          </cell>
          <cell r="AR80">
            <v>2.6367249212643511</v>
          </cell>
          <cell r="AS80" t="str">
            <v/>
          </cell>
          <cell r="AT80">
            <v>0</v>
          </cell>
          <cell r="AU80" t="str">
            <v/>
          </cell>
          <cell r="AV80">
            <v>0</v>
          </cell>
          <cell r="AW80" t="str">
            <v>Prefrac  kh estimate acceptable</v>
          </cell>
          <cell r="AY80">
            <v>50</v>
          </cell>
        </row>
        <row r="81">
          <cell r="C81" t="str">
            <v>Petelynskoye!382</v>
          </cell>
          <cell r="E81" t="str">
            <v>382</v>
          </cell>
          <cell r="F81">
            <v>2009.1</v>
          </cell>
          <cell r="G81">
            <v>36834</v>
          </cell>
          <cell r="H81">
            <v>175</v>
          </cell>
          <cell r="I81">
            <v>84</v>
          </cell>
          <cell r="J81" t="str">
            <v/>
          </cell>
          <cell r="M81" t="str">
            <v/>
          </cell>
          <cell r="O81" t="str">
            <v/>
          </cell>
          <cell r="P81">
            <v>0</v>
          </cell>
          <cell r="Q81">
            <v>0.2155426260680644</v>
          </cell>
          <cell r="R81" t="str">
            <v/>
          </cell>
          <cell r="S81">
            <v>0.2155426260680644</v>
          </cell>
          <cell r="T81">
            <v>50.5</v>
          </cell>
          <cell r="U81" t="str">
            <v>Old</v>
          </cell>
          <cell r="X81">
            <v>33.33</v>
          </cell>
          <cell r="Y81">
            <v>0.39400000000000002</v>
          </cell>
          <cell r="Z81">
            <v>-3.204100695865733</v>
          </cell>
          <cell r="AA81">
            <v>-3.0748199999999999</v>
          </cell>
          <cell r="AB81">
            <v>-4.7674317605273053</v>
          </cell>
          <cell r="AC81" t="str">
            <v>AS-4,98</v>
          </cell>
          <cell r="AE81">
            <v>23.88</v>
          </cell>
          <cell r="AF81" t="str">
            <v>16/30</v>
          </cell>
          <cell r="AG81">
            <v>10.1</v>
          </cell>
          <cell r="AH81">
            <v>55.2</v>
          </cell>
          <cell r="AI81">
            <v>420</v>
          </cell>
          <cell r="AJ81">
            <v>4888.4968837148363</v>
          </cell>
          <cell r="AK81">
            <v>1</v>
          </cell>
          <cell r="AL81" t="str">
            <v>0.01778:-3.07482!50.50000</v>
          </cell>
          <cell r="AM81">
            <v>1.7780000000000001E-2</v>
          </cell>
          <cell r="AN81">
            <v>-3.0748199999999999</v>
          </cell>
          <cell r="AO81">
            <v>0.31491838620452822</v>
          </cell>
          <cell r="AP81">
            <v>50.5</v>
          </cell>
          <cell r="AQ81">
            <v>50.5</v>
          </cell>
          <cell r="AR81">
            <v>1.7688537711179861</v>
          </cell>
          <cell r="AS81" t="str">
            <v/>
          </cell>
          <cell r="AT81">
            <v>0</v>
          </cell>
          <cell r="AU81" t="str">
            <v/>
          </cell>
          <cell r="AV81">
            <v>1</v>
          </cell>
          <cell r="AW81" t="str">
            <v>PROBLEM FRAC possible? KH prefrac Estimate is at least 50% higher than for a perfect frac</v>
          </cell>
          <cell r="AY81">
            <v>50.5</v>
          </cell>
        </row>
        <row r="82">
          <cell r="C82" t="str">
            <v>Priobskoe LB!107</v>
          </cell>
          <cell r="E82" t="str">
            <v>107</v>
          </cell>
          <cell r="F82">
            <v>2533.1999999999998</v>
          </cell>
          <cell r="G82">
            <v>36656</v>
          </cell>
          <cell r="H82">
            <v>260.37530479999998</v>
          </cell>
          <cell r="I82">
            <v>117</v>
          </cell>
          <cell r="J82" t="str">
            <v/>
          </cell>
          <cell r="M82" t="str">
            <v/>
          </cell>
          <cell r="O82" t="str">
            <v/>
          </cell>
          <cell r="P82">
            <v>0</v>
          </cell>
          <cell r="Q82">
            <v>0.20871355276689801</v>
          </cell>
          <cell r="R82" t="str">
            <v/>
          </cell>
          <cell r="S82">
            <v>0.20871355276689801</v>
          </cell>
          <cell r="T82">
            <v>48.900000000000006</v>
          </cell>
          <cell r="U82" t="str">
            <v>Old</v>
          </cell>
          <cell r="X82">
            <v>23.5</v>
          </cell>
          <cell r="Y82">
            <v>1.0451999999999999</v>
          </cell>
          <cell r="Z82">
            <v>-5.66144624491454</v>
          </cell>
          <cell r="AA82">
            <v>-5.0894199999999996</v>
          </cell>
          <cell r="AB82">
            <v>-5.043839575899689</v>
          </cell>
          <cell r="AC82" t="str">
            <v>AS-10,100</v>
          </cell>
          <cell r="AE82">
            <v>54.524000000000001</v>
          </cell>
          <cell r="AF82" t="str">
            <v>16/30</v>
          </cell>
          <cell r="AG82">
            <v>16.3</v>
          </cell>
          <cell r="AH82">
            <v>70.3</v>
          </cell>
          <cell r="AI82">
            <v>420</v>
          </cell>
          <cell r="AJ82">
            <v>5430.5804449702473</v>
          </cell>
          <cell r="AK82">
            <v>1</v>
          </cell>
          <cell r="AL82" t="str">
            <v>1:-5.08942!51.79297</v>
          </cell>
          <cell r="AM82">
            <v>1</v>
          </cell>
          <cell r="AN82">
            <v>-5.0894199999999996</v>
          </cell>
          <cell r="AO82">
            <v>24.311273830122243</v>
          </cell>
          <cell r="AP82">
            <v>51.792969999999997</v>
          </cell>
          <cell r="AQ82">
            <v>48.900000000000006</v>
          </cell>
          <cell r="AR82">
            <v>3.7752973035698556</v>
          </cell>
          <cell r="AS82">
            <v>0.41850721652406708</v>
          </cell>
          <cell r="AT82">
            <v>0</v>
          </cell>
          <cell r="AU82" t="str">
            <v/>
          </cell>
          <cell r="AV82">
            <v>0</v>
          </cell>
          <cell r="AW82" t="str">
            <v>Prefrac  kh estimate acceptable</v>
          </cell>
          <cell r="AY82">
            <v>51.792969999999997</v>
          </cell>
        </row>
        <row r="83">
          <cell r="C83" t="str">
            <v>Priobskoe LB!1080</v>
          </cell>
          <cell r="E83" t="str">
            <v>1080</v>
          </cell>
          <cell r="F83">
            <v>2632.5</v>
          </cell>
          <cell r="G83">
            <v>36800</v>
          </cell>
          <cell r="H83">
            <v>250</v>
          </cell>
          <cell r="I83">
            <v>117</v>
          </cell>
          <cell r="J83" t="str">
            <v/>
          </cell>
          <cell r="M83" t="str">
            <v/>
          </cell>
          <cell r="O83" t="str">
            <v/>
          </cell>
          <cell r="P83">
            <v>0</v>
          </cell>
          <cell r="Q83">
            <v>0.15237369803227524</v>
          </cell>
          <cell r="R83" t="str">
            <v/>
          </cell>
          <cell r="S83">
            <v>0.15237369803227524</v>
          </cell>
          <cell r="T83">
            <v>35.700000000000003</v>
          </cell>
          <cell r="U83" t="str">
            <v>Old</v>
          </cell>
          <cell r="X83">
            <v>29</v>
          </cell>
          <cell r="Y83">
            <v>0.45750000000000002</v>
          </cell>
          <cell r="Z83">
            <v>-4.7179836049007999</v>
          </cell>
          <cell r="AA83">
            <v>-4.83331</v>
          </cell>
          <cell r="AB83">
            <v>-4.7912363051655884</v>
          </cell>
          <cell r="AC83" t="str">
            <v>AC-11-12,100</v>
          </cell>
          <cell r="AE83">
            <v>39.89</v>
          </cell>
          <cell r="AF83" t="str">
            <v>16/30</v>
          </cell>
          <cell r="AG83">
            <v>23.8</v>
          </cell>
          <cell r="AH83">
            <v>51.5</v>
          </cell>
          <cell r="AI83">
            <v>420</v>
          </cell>
          <cell r="AJ83">
            <v>3714.3371489583587</v>
          </cell>
          <cell r="AK83">
            <v>1</v>
          </cell>
          <cell r="AL83" t="str">
            <v>1:-4.83331!18.32063</v>
          </cell>
          <cell r="AM83">
            <v>1</v>
          </cell>
          <cell r="AN83">
            <v>-4.83331</v>
          </cell>
          <cell r="AO83">
            <v>93.693755300926568</v>
          </cell>
          <cell r="AP83">
            <v>18.320630000000001</v>
          </cell>
          <cell r="AQ83">
            <v>35.700000000000003</v>
          </cell>
          <cell r="AR83">
            <v>1.6201281731215891</v>
          </cell>
          <cell r="AS83" t="str">
            <v/>
          </cell>
          <cell r="AT83">
            <v>0</v>
          </cell>
          <cell r="AU83" t="str">
            <v/>
          </cell>
          <cell r="AV83">
            <v>0</v>
          </cell>
          <cell r="AW83" t="str">
            <v>Prefrac  kh estimate acceptable</v>
          </cell>
          <cell r="AY83">
            <v>35.700000000000003</v>
          </cell>
        </row>
        <row r="84">
          <cell r="C84" t="str">
            <v>Priobskoe LB!1110</v>
          </cell>
          <cell r="E84" t="str">
            <v>1110</v>
          </cell>
          <cell r="F84">
            <v>2595</v>
          </cell>
          <cell r="G84">
            <v>36791</v>
          </cell>
          <cell r="H84">
            <v>260</v>
          </cell>
          <cell r="I84">
            <v>117</v>
          </cell>
          <cell r="J84">
            <v>8.7317999999999998</v>
          </cell>
          <cell r="K84">
            <v>9.8000000000000007</v>
          </cell>
          <cell r="L84">
            <v>1</v>
          </cell>
          <cell r="M84">
            <v>99</v>
          </cell>
          <cell r="N84">
            <v>1080</v>
          </cell>
          <cell r="O84">
            <v>149.35</v>
          </cell>
          <cell r="P84">
            <v>0</v>
          </cell>
          <cell r="R84">
            <v>8.8567555354722105E-2</v>
          </cell>
          <cell r="S84">
            <v>8.8567555354722105E-2</v>
          </cell>
          <cell r="T84">
            <v>20.75070544979387</v>
          </cell>
          <cell r="U84" t="str">
            <v>Old</v>
          </cell>
          <cell r="X84">
            <v>28.67</v>
          </cell>
          <cell r="Y84">
            <v>0.52769999999999995</v>
          </cell>
          <cell r="Z84">
            <v>-5.8867597465993926</v>
          </cell>
          <cell r="AA84">
            <v>-5.0164900000000001</v>
          </cell>
          <cell r="AB84">
            <v>-5.1521883960189161</v>
          </cell>
          <cell r="AC84" t="str">
            <v>AC-12,100/AC-11-12,100</v>
          </cell>
          <cell r="AE84">
            <v>32</v>
          </cell>
          <cell r="AF84" t="str">
            <v>16/30</v>
          </cell>
          <cell r="AG84">
            <v>21</v>
          </cell>
          <cell r="AH84">
            <v>78.900000000000006</v>
          </cell>
          <cell r="AI84">
            <v>420</v>
          </cell>
          <cell r="AJ84">
            <v>2204.2210833746617</v>
          </cell>
          <cell r="AK84">
            <v>2</v>
          </cell>
          <cell r="AL84" t="str">
            <v>0.19165:-5.01649!20.75071</v>
          </cell>
          <cell r="AM84">
            <v>0.19164999999999999</v>
          </cell>
          <cell r="AN84">
            <v>-5.0164900000000001</v>
          </cell>
          <cell r="AO84">
            <v>5.418427992295344</v>
          </cell>
          <cell r="AP84">
            <v>20.750710000000002</v>
          </cell>
          <cell r="AQ84">
            <v>20.75070544979387</v>
          </cell>
          <cell r="AR84">
            <v>3.4380818668028823</v>
          </cell>
          <cell r="AS84">
            <v>1.5511938906698219E-6</v>
          </cell>
          <cell r="AT84">
            <v>0</v>
          </cell>
          <cell r="AU84" t="str">
            <v/>
          </cell>
          <cell r="AV84">
            <v>0</v>
          </cell>
          <cell r="AW84" t="str">
            <v>Proppant Pack damage=19%</v>
          </cell>
          <cell r="AY84">
            <v>20.750710000000002</v>
          </cell>
        </row>
        <row r="85">
          <cell r="C85" t="str">
            <v>Priobskoe LB!112</v>
          </cell>
          <cell r="E85" t="str">
            <v>112</v>
          </cell>
          <cell r="F85">
            <v>2392.6999999999998</v>
          </cell>
          <cell r="G85">
            <v>36740</v>
          </cell>
          <cell r="H85">
            <v>236.33030719999999</v>
          </cell>
          <cell r="I85">
            <v>117</v>
          </cell>
          <cell r="J85">
            <v>48.898800000000001</v>
          </cell>
          <cell r="K85">
            <v>57.8</v>
          </cell>
          <cell r="L85">
            <v>6</v>
          </cell>
          <cell r="M85">
            <v>94</v>
          </cell>
          <cell r="N85">
            <v>1100</v>
          </cell>
          <cell r="O85">
            <v>129.34299999999996</v>
          </cell>
          <cell r="P85">
            <v>0</v>
          </cell>
          <cell r="R85">
            <v>0.54025100278437499</v>
          </cell>
          <cell r="S85">
            <v>0.54025100278437499</v>
          </cell>
          <cell r="T85">
            <v>126.57670614069428</v>
          </cell>
          <cell r="U85" t="str">
            <v>Old</v>
          </cell>
          <cell r="X85">
            <v>28.4</v>
          </cell>
          <cell r="Y85">
            <v>1.0649</v>
          </cell>
          <cell r="Z85">
            <v>-3.4852015643280545</v>
          </cell>
          <cell r="AA85">
            <v>-3.2840400000000001</v>
          </cell>
          <cell r="AB85">
            <v>-5.0025907230239852</v>
          </cell>
          <cell r="AC85" t="str">
            <v>AC-11,100</v>
          </cell>
          <cell r="AE85">
            <v>45.9</v>
          </cell>
          <cell r="AF85" t="str">
            <v>16/30</v>
          </cell>
          <cell r="AG85">
            <v>27.8</v>
          </cell>
          <cell r="AH85">
            <v>66.8</v>
          </cell>
          <cell r="AI85">
            <v>420</v>
          </cell>
          <cell r="AJ85">
            <v>3136.8784170788858</v>
          </cell>
          <cell r="AK85">
            <v>1</v>
          </cell>
          <cell r="AL85" t="str">
            <v>0.03485:-3.28404!126.57671</v>
          </cell>
          <cell r="AM85">
            <v>3.4849999999999999E-2</v>
          </cell>
          <cell r="AN85">
            <v>-3.2840400000000001</v>
          </cell>
          <cell r="AO85">
            <v>0.3594305593574379</v>
          </cell>
          <cell r="AP85">
            <v>126.57671000000001</v>
          </cell>
          <cell r="AQ85">
            <v>126.57670614069428</v>
          </cell>
          <cell r="AR85">
            <v>1.866499945011439</v>
          </cell>
          <cell r="AS85">
            <v>2.1568665431459522E-7</v>
          </cell>
          <cell r="AT85">
            <v>0</v>
          </cell>
          <cell r="AU85" t="str">
            <v/>
          </cell>
          <cell r="AV85">
            <v>0</v>
          </cell>
          <cell r="AW85" t="str">
            <v>Proppant Pack damage=3%</v>
          </cell>
          <cell r="AY85">
            <v>126.57671000000001</v>
          </cell>
        </row>
        <row r="86">
          <cell r="C86" t="str">
            <v>Priobskoe LB!1132</v>
          </cell>
          <cell r="E86" t="str">
            <v>1132</v>
          </cell>
          <cell r="F86">
            <v>2560.6</v>
          </cell>
          <cell r="G86">
            <v>36710</v>
          </cell>
          <cell r="H86">
            <v>275.66090759999997</v>
          </cell>
          <cell r="I86">
            <v>117</v>
          </cell>
          <cell r="J86" t="str">
            <v/>
          </cell>
          <cell r="M86" t="str">
            <v/>
          </cell>
          <cell r="O86" t="str">
            <v/>
          </cell>
          <cell r="P86">
            <v>0</v>
          </cell>
          <cell r="Q86">
            <v>0.18054362539958663</v>
          </cell>
          <cell r="R86" t="str">
            <v/>
          </cell>
          <cell r="S86">
            <v>0.18054362539958663</v>
          </cell>
          <cell r="T86">
            <v>42.300000000000004</v>
          </cell>
          <cell r="U86" t="str">
            <v>Old</v>
          </cell>
          <cell r="X86">
            <v>39.5</v>
          </cell>
          <cell r="Y86">
            <v>0.31309999999999999</v>
          </cell>
          <cell r="Z86">
            <v>-2.9949214083539646</v>
          </cell>
          <cell r="AA86">
            <v>-2.89791</v>
          </cell>
          <cell r="AB86">
            <v>-5.165230877858261</v>
          </cell>
          <cell r="AC86" t="str">
            <v>AC-11,100</v>
          </cell>
          <cell r="AE86">
            <v>35.83</v>
          </cell>
          <cell r="AF86" t="str">
            <v>16/30</v>
          </cell>
          <cell r="AG86">
            <v>9.4</v>
          </cell>
          <cell r="AH86">
            <v>89.8</v>
          </cell>
          <cell r="AI86">
            <v>420</v>
          </cell>
          <cell r="AJ86">
            <v>4844.4456691712903</v>
          </cell>
          <cell r="AK86">
            <v>1</v>
          </cell>
          <cell r="AL86" t="str">
            <v>0.01275:-2.89791!42.30000</v>
          </cell>
          <cell r="AM86">
            <v>1.2749999999999999E-2</v>
          </cell>
          <cell r="AN86">
            <v>-2.89791</v>
          </cell>
          <cell r="AO86">
            <v>0.15284999327377866</v>
          </cell>
          <cell r="AP86">
            <v>42.3</v>
          </cell>
          <cell r="AQ86">
            <v>42.300000000000004</v>
          </cell>
          <cell r="AR86">
            <v>1.6939213647416145</v>
          </cell>
          <cell r="AS86" t="str">
            <v/>
          </cell>
          <cell r="AT86">
            <v>0</v>
          </cell>
          <cell r="AU86" t="str">
            <v/>
          </cell>
          <cell r="AV86">
            <v>1</v>
          </cell>
          <cell r="AW86" t="str">
            <v>PROBLEM FRAC possible? KH prefrac Estimate is at least 50% higher than for a perfect frac</v>
          </cell>
          <cell r="AY86">
            <v>42.300000000000004</v>
          </cell>
        </row>
        <row r="87">
          <cell r="C87" t="str">
            <v>Priobskoe LB!125</v>
          </cell>
          <cell r="E87" t="str">
            <v>125</v>
          </cell>
          <cell r="F87">
            <v>2671.2</v>
          </cell>
          <cell r="G87">
            <v>36756</v>
          </cell>
          <cell r="H87">
            <v>240</v>
          </cell>
          <cell r="I87">
            <v>117</v>
          </cell>
          <cell r="J87" t="str">
            <v/>
          </cell>
          <cell r="M87" t="str">
            <v/>
          </cell>
          <cell r="O87" t="str">
            <v/>
          </cell>
          <cell r="P87">
            <v>0</v>
          </cell>
          <cell r="Q87">
            <v>0.1399960026739111</v>
          </cell>
          <cell r="R87" t="str">
            <v/>
          </cell>
          <cell r="S87">
            <v>0.1399960026739111</v>
          </cell>
          <cell r="T87">
            <v>32.799999999999997</v>
          </cell>
          <cell r="U87" t="str">
            <v>Old</v>
          </cell>
          <cell r="X87">
            <v>39</v>
          </cell>
          <cell r="Y87">
            <v>0.441</v>
          </cell>
          <cell r="Z87">
            <v>-4.8283812393116037</v>
          </cell>
          <cell r="AA87">
            <v>-5.0460799999999999</v>
          </cell>
          <cell r="AB87">
            <v>-4.9904413374766339</v>
          </cell>
          <cell r="AC87" t="str">
            <v>AS 12,79</v>
          </cell>
          <cell r="AE87">
            <v>40.18</v>
          </cell>
          <cell r="AF87" t="str">
            <v>16/30</v>
          </cell>
          <cell r="AG87">
            <v>16.399999999999999</v>
          </cell>
          <cell r="AH87">
            <v>64.900000000000006</v>
          </cell>
          <cell r="AI87">
            <v>420</v>
          </cell>
          <cell r="AJ87">
            <v>4308.467877001407</v>
          </cell>
          <cell r="AK87">
            <v>1</v>
          </cell>
          <cell r="AL87" t="str">
            <v>1:-5.04608!19.38283</v>
          </cell>
          <cell r="AM87">
            <v>1</v>
          </cell>
          <cell r="AN87">
            <v>-5.0460799999999999</v>
          </cell>
          <cell r="AO87">
            <v>56.170051725153776</v>
          </cell>
          <cell r="AP87">
            <v>19.382829999999998</v>
          </cell>
          <cell r="AQ87">
            <v>32.799999999999997</v>
          </cell>
          <cell r="AR87">
            <v>2.0613443696455422</v>
          </cell>
          <cell r="AS87" t="str">
            <v/>
          </cell>
          <cell r="AT87">
            <v>0</v>
          </cell>
          <cell r="AU87" t="str">
            <v/>
          </cell>
          <cell r="AV87">
            <v>0</v>
          </cell>
          <cell r="AW87" t="str">
            <v>Prefrac  kh estimate acceptable</v>
          </cell>
          <cell r="AY87">
            <v>32.799999999999997</v>
          </cell>
        </row>
        <row r="88">
          <cell r="C88" t="str">
            <v>Priobskoe LB!1262</v>
          </cell>
          <cell r="E88" t="str">
            <v>1262</v>
          </cell>
          <cell r="F88">
            <v>2474.5</v>
          </cell>
          <cell r="G88">
            <v>36719</v>
          </cell>
          <cell r="H88">
            <v>235.57571440000001</v>
          </cell>
          <cell r="I88">
            <v>117</v>
          </cell>
          <cell r="J88" t="str">
            <v/>
          </cell>
          <cell r="M88" t="str">
            <v/>
          </cell>
          <cell r="O88" t="str">
            <v/>
          </cell>
          <cell r="P88">
            <v>0</v>
          </cell>
          <cell r="Q88">
            <v>0.23474939472759487</v>
          </cell>
          <cell r="R88" t="str">
            <v/>
          </cell>
          <cell r="S88">
            <v>0.23474939472759487</v>
          </cell>
          <cell r="T88">
            <v>55</v>
          </cell>
          <cell r="U88" t="str">
            <v>Old</v>
          </cell>
          <cell r="X88">
            <v>34</v>
          </cell>
          <cell r="Y88">
            <v>0.2165</v>
          </cell>
          <cell r="Z88">
            <v>0.59629126084657891</v>
          </cell>
          <cell r="AA88">
            <v>0</v>
          </cell>
          <cell r="AB88">
            <v>-5.1089331795695179</v>
          </cell>
          <cell r="AC88" t="str">
            <v>AC-11,76</v>
          </cell>
          <cell r="AE88">
            <v>17</v>
          </cell>
          <cell r="AF88" t="str">
            <v>16/20</v>
          </cell>
          <cell r="AG88">
            <v>11</v>
          </cell>
          <cell r="AH88">
            <v>106.4</v>
          </cell>
          <cell r="AI88">
            <v>420</v>
          </cell>
          <cell r="AJ88">
            <v>1657.7387143748699</v>
          </cell>
          <cell r="AK88">
            <v>1</v>
          </cell>
          <cell r="AL88" t="str">
            <v>0.00000:0.00000!55.00000</v>
          </cell>
          <cell r="AM88">
            <v>0</v>
          </cell>
          <cell r="AN88">
            <v>0</v>
          </cell>
          <cell r="AO88">
            <v>0</v>
          </cell>
          <cell r="AP88">
            <v>55</v>
          </cell>
          <cell r="AQ88">
            <v>55</v>
          </cell>
          <cell r="AR88">
            <v>1</v>
          </cell>
          <cell r="AS88" t="str">
            <v/>
          </cell>
          <cell r="AT88">
            <v>0</v>
          </cell>
          <cell r="AU88" t="str">
            <v/>
          </cell>
          <cell r="AV88">
            <v>1</v>
          </cell>
          <cell r="AW88" t="str">
            <v>PROBLEM FRAC possible? KH prefrac Estimate is at least 50% higher than for a perfect frac</v>
          </cell>
          <cell r="AY88">
            <v>55</v>
          </cell>
        </row>
        <row r="89">
          <cell r="C89" t="str">
            <v>Priobskoe LB!127</v>
          </cell>
          <cell r="E89" t="str">
            <v>127</v>
          </cell>
          <cell r="F89">
            <v>2574.8000000000002</v>
          </cell>
          <cell r="G89">
            <v>36712</v>
          </cell>
          <cell r="H89">
            <v>258.30527319999999</v>
          </cell>
          <cell r="I89">
            <v>117</v>
          </cell>
          <cell r="J89" t="str">
            <v/>
          </cell>
          <cell r="M89" t="str">
            <v/>
          </cell>
          <cell r="O89" t="str">
            <v/>
          </cell>
          <cell r="P89">
            <v>0</v>
          </cell>
          <cell r="Q89">
            <v>0.27657746869723909</v>
          </cell>
          <cell r="R89" t="str">
            <v/>
          </cell>
          <cell r="S89">
            <v>0.27657746869723909</v>
          </cell>
          <cell r="T89">
            <v>64.800000000000011</v>
          </cell>
          <cell r="U89" t="str">
            <v>Old</v>
          </cell>
          <cell r="X89">
            <v>13</v>
          </cell>
          <cell r="Y89">
            <v>0.40910000000000002</v>
          </cell>
          <cell r="Z89">
            <v>-2.291543593035624</v>
          </cell>
          <cell r="AA89">
            <v>-1.4408700000000001</v>
          </cell>
          <cell r="AB89">
            <v>-4.7739635250418049</v>
          </cell>
          <cell r="AC89" t="str">
            <v>AC-11,82</v>
          </cell>
          <cell r="AE89">
            <v>22.52</v>
          </cell>
          <cell r="AF89" t="str">
            <v>16/30</v>
          </cell>
          <cell r="AG89">
            <v>21.6</v>
          </cell>
          <cell r="AH89">
            <v>61</v>
          </cell>
          <cell r="AI89">
            <v>420</v>
          </cell>
          <cell r="AJ89">
            <v>1950.6810802249147</v>
          </cell>
          <cell r="AK89">
            <v>1</v>
          </cell>
          <cell r="AL89" t="str">
            <v>0.00490:-1.44087!64.80000</v>
          </cell>
          <cell r="AM89">
            <v>4.8999999999999998E-3</v>
          </cell>
          <cell r="AN89">
            <v>-1.4408700000000001</v>
          </cell>
          <cell r="AO89">
            <v>5.2231351328426677E-2</v>
          </cell>
          <cell r="AP89">
            <v>64.8</v>
          </cell>
          <cell r="AQ89">
            <v>64.800000000000011</v>
          </cell>
          <cell r="AR89">
            <v>1.2557828829106612</v>
          </cell>
          <cell r="AS89" t="str">
            <v/>
          </cell>
          <cell r="AT89">
            <v>0</v>
          </cell>
          <cell r="AU89" t="str">
            <v/>
          </cell>
          <cell r="AV89">
            <v>1</v>
          </cell>
          <cell r="AW89" t="str">
            <v>PROBLEM FRAC possible? KH prefrac Estimate is at least 50% higher than for a perfect frac</v>
          </cell>
          <cell r="AY89">
            <v>64.800000000000011</v>
          </cell>
        </row>
        <row r="90">
          <cell r="C90" t="str">
            <v>Priobskoe LB!1756</v>
          </cell>
          <cell r="E90" t="str">
            <v>1756</v>
          </cell>
          <cell r="F90">
            <v>2440.85</v>
          </cell>
          <cell r="G90">
            <v>36630</v>
          </cell>
          <cell r="H90">
            <v>258.30527319999999</v>
          </cell>
          <cell r="I90">
            <v>117</v>
          </cell>
          <cell r="J90">
            <v>98.01</v>
          </cell>
          <cell r="K90">
            <v>108.9</v>
          </cell>
          <cell r="L90">
            <v>0</v>
          </cell>
          <cell r="M90">
            <v>100</v>
          </cell>
          <cell r="N90">
            <v>1254</v>
          </cell>
          <cell r="O90">
            <v>119.81649999999999</v>
          </cell>
          <cell r="P90">
            <v>0</v>
          </cell>
          <cell r="R90">
            <v>0.78634532954329039</v>
          </cell>
          <cell r="S90">
            <v>0.78634532954329039</v>
          </cell>
          <cell r="T90">
            <v>184.23473753816259</v>
          </cell>
          <cell r="U90" t="str">
            <v>Old</v>
          </cell>
          <cell r="X90">
            <v>24.75</v>
          </cell>
          <cell r="Y90">
            <v>2.7646999999999999</v>
          </cell>
          <cell r="Z90">
            <v>-5.0620219063924479</v>
          </cell>
          <cell r="AA90">
            <v>-4.6706399999999997</v>
          </cell>
          <cell r="AB90">
            <v>-4.6304247630603808</v>
          </cell>
          <cell r="AC90" t="str">
            <v>AS-10,49</v>
          </cell>
          <cell r="AE90">
            <v>28.931000000000001</v>
          </cell>
          <cell r="AF90" t="str">
            <v>16/30</v>
          </cell>
          <cell r="AG90">
            <v>37.799999999999997</v>
          </cell>
          <cell r="AH90">
            <v>57.5</v>
          </cell>
          <cell r="AI90">
            <v>420</v>
          </cell>
          <cell r="AJ90">
            <v>2296.9792060491491</v>
          </cell>
          <cell r="AK90">
            <v>1</v>
          </cell>
          <cell r="AL90" t="str">
            <v>1:-4.67064!220.07205</v>
          </cell>
          <cell r="AM90">
            <v>1</v>
          </cell>
          <cell r="AN90">
            <v>-4.6706399999999997</v>
          </cell>
          <cell r="AO90">
            <v>6.8614535845169069</v>
          </cell>
          <cell r="AP90">
            <v>220.07204999999999</v>
          </cell>
          <cell r="AQ90">
            <v>184.23473753816259</v>
          </cell>
          <cell r="AR90">
            <v>3.5158805051406832</v>
          </cell>
          <cell r="AS90">
            <v>1.3760423286512831</v>
          </cell>
          <cell r="AT90">
            <v>0</v>
          </cell>
          <cell r="AU90" t="str">
            <v/>
          </cell>
          <cell r="AV90">
            <v>0</v>
          </cell>
          <cell r="AW90" t="str">
            <v>Slight DAMMAGED formation S =1.4</v>
          </cell>
          <cell r="AY90">
            <v>220.07204999999999</v>
          </cell>
        </row>
        <row r="91">
          <cell r="C91" t="str">
            <v>Priobskoe LB!1795</v>
          </cell>
          <cell r="E91" t="str">
            <v>1795</v>
          </cell>
          <cell r="F91">
            <v>2622.2</v>
          </cell>
          <cell r="G91">
            <v>36730</v>
          </cell>
          <cell r="H91">
            <v>255.20532439999999</v>
          </cell>
          <cell r="I91">
            <v>117</v>
          </cell>
          <cell r="J91" t="str">
            <v/>
          </cell>
          <cell r="M91" t="str">
            <v/>
          </cell>
          <cell r="O91" t="str">
            <v/>
          </cell>
          <cell r="P91">
            <v>0</v>
          </cell>
          <cell r="Q91">
            <v>0.11908196568908905</v>
          </cell>
          <cell r="R91" t="str">
            <v/>
          </cell>
          <cell r="S91">
            <v>0.11908196568908905</v>
          </cell>
          <cell r="T91">
            <v>27.900000000000002</v>
          </cell>
          <cell r="U91" t="str">
            <v>Old</v>
          </cell>
          <cell r="X91">
            <v>149</v>
          </cell>
          <cell r="Y91">
            <v>0.12</v>
          </cell>
          <cell r="Z91">
            <v>-5.4118474624406332E-2</v>
          </cell>
          <cell r="AA91">
            <v>0</v>
          </cell>
          <cell r="AB91">
            <v>-5.1014982348002018</v>
          </cell>
          <cell r="AC91" t="str">
            <v>AC-12,89</v>
          </cell>
          <cell r="AE91">
            <v>35.5</v>
          </cell>
          <cell r="AF91" t="str">
            <v>16/20</v>
          </cell>
          <cell r="AG91">
            <v>18.600000000000001</v>
          </cell>
          <cell r="AH91">
            <v>70.900000000000006</v>
          </cell>
          <cell r="AI91">
            <v>420</v>
          </cell>
          <cell r="AJ91">
            <v>3072.3496934821173</v>
          </cell>
          <cell r="AK91">
            <v>1</v>
          </cell>
          <cell r="AL91" t="str">
            <v>0.00000:0.00000!27.90000</v>
          </cell>
          <cell r="AM91">
            <v>0</v>
          </cell>
          <cell r="AN91">
            <v>0</v>
          </cell>
          <cell r="AO91">
            <v>0</v>
          </cell>
          <cell r="AP91">
            <v>27.9</v>
          </cell>
          <cell r="AQ91">
            <v>27.900000000000002</v>
          </cell>
          <cell r="AR91">
            <v>1</v>
          </cell>
          <cell r="AS91" t="str">
            <v/>
          </cell>
          <cell r="AT91">
            <v>0</v>
          </cell>
          <cell r="AU91" t="str">
            <v/>
          </cell>
          <cell r="AV91">
            <v>1</v>
          </cell>
          <cell r="AW91" t="str">
            <v>PROBLEM FRAC possible? KH prefrac Estimate is at least 50% higher than for a perfect frac</v>
          </cell>
          <cell r="AY91">
            <v>27.900000000000002</v>
          </cell>
        </row>
        <row r="92">
          <cell r="C92" t="str">
            <v>Priobskoe LB!202</v>
          </cell>
          <cell r="E92" t="str">
            <v>202</v>
          </cell>
          <cell r="F92">
            <v>2501.35</v>
          </cell>
          <cell r="G92">
            <v>36623</v>
          </cell>
          <cell r="H92">
            <v>250.0455412</v>
          </cell>
          <cell r="I92">
            <v>117</v>
          </cell>
          <cell r="J92">
            <v>19.180799999999998</v>
          </cell>
          <cell r="K92">
            <v>22.2</v>
          </cell>
          <cell r="L92">
            <v>4</v>
          </cell>
          <cell r="M92">
            <v>96</v>
          </cell>
          <cell r="N92">
            <v>1592</v>
          </cell>
          <cell r="O92">
            <v>94.841499999999982</v>
          </cell>
          <cell r="P92">
            <v>0</v>
          </cell>
          <cell r="R92">
            <v>0.14477735516372861</v>
          </cell>
          <cell r="S92">
            <v>0.14477735516372861</v>
          </cell>
          <cell r="T92">
            <v>33.920234568634854</v>
          </cell>
          <cell r="U92" t="str">
            <v>Old</v>
          </cell>
          <cell r="X92">
            <v>26</v>
          </cell>
          <cell r="Y92">
            <v>0.5877</v>
          </cell>
          <cell r="Z92">
            <v>-5.3313853476636783</v>
          </cell>
          <cell r="AA92">
            <v>-4.5077100000000003</v>
          </cell>
          <cell r="AB92">
            <v>-4.9927494691015877</v>
          </cell>
          <cell r="AC92" t="str">
            <v>AC-10,100</v>
          </cell>
          <cell r="AE92">
            <v>57.826999999999998</v>
          </cell>
          <cell r="AF92" t="str">
            <v>16/30</v>
          </cell>
          <cell r="AG92">
            <v>24.5</v>
          </cell>
          <cell r="AH92">
            <v>65.400000000000006</v>
          </cell>
          <cell r="AI92">
            <v>420</v>
          </cell>
          <cell r="AJ92">
            <v>4118.9668927004386</v>
          </cell>
          <cell r="AK92">
            <v>1</v>
          </cell>
          <cell r="AL92" t="str">
            <v>0.04327:-4.50771!33.92023</v>
          </cell>
          <cell r="AM92">
            <v>4.3270000000000003E-2</v>
          </cell>
          <cell r="AN92">
            <v>-4.5077100000000003</v>
          </cell>
          <cell r="AO92">
            <v>1.9683609659756522</v>
          </cell>
          <cell r="AP92">
            <v>33.920229999999997</v>
          </cell>
          <cell r="AQ92">
            <v>33.920234568634854</v>
          </cell>
          <cell r="AR92">
            <v>2.7564769308972692</v>
          </cell>
          <cell r="AS92" t="str">
            <v/>
          </cell>
          <cell r="AT92">
            <v>0</v>
          </cell>
          <cell r="AU92" t="str">
            <v/>
          </cell>
          <cell r="AV92">
            <v>0</v>
          </cell>
          <cell r="AW92" t="str">
            <v>Proppant Pack damage=4%</v>
          </cell>
          <cell r="AY92">
            <v>33.920234568634854</v>
          </cell>
        </row>
        <row r="93">
          <cell r="C93" t="str">
            <v>Priobskoe LB!2020</v>
          </cell>
          <cell r="E93" t="str">
            <v>2020</v>
          </cell>
          <cell r="F93">
            <v>2685.2</v>
          </cell>
          <cell r="G93">
            <v>36772</v>
          </cell>
          <cell r="H93">
            <v>255</v>
          </cell>
          <cell r="I93">
            <v>117</v>
          </cell>
          <cell r="J93" t="str">
            <v/>
          </cell>
          <cell r="M93" t="str">
            <v/>
          </cell>
          <cell r="O93" t="str">
            <v/>
          </cell>
          <cell r="P93">
            <v>0</v>
          </cell>
          <cell r="Q93">
            <v>0.1184417400671047</v>
          </cell>
          <cell r="R93" t="str">
            <v/>
          </cell>
          <cell r="S93">
            <v>0.1184417400671047</v>
          </cell>
          <cell r="T93">
            <v>27.750000000000004</v>
          </cell>
          <cell r="U93" t="str">
            <v>Old</v>
          </cell>
          <cell r="X93">
            <v>30</v>
          </cell>
          <cell r="Y93">
            <v>0.34379999999999999</v>
          </cell>
          <cell r="Z93">
            <v>-4.6369828379633891</v>
          </cell>
          <cell r="AA93">
            <v>-3.9179499999999998</v>
          </cell>
          <cell r="AB93">
            <v>-5.3603842106974398</v>
          </cell>
          <cell r="AC93" t="str">
            <v>AS-11-12,100/AS-10,97</v>
          </cell>
          <cell r="AE93">
            <v>38.69</v>
          </cell>
          <cell r="AF93" t="str">
            <v>16/30</v>
          </cell>
          <cell r="AG93">
            <v>18.5</v>
          </cell>
          <cell r="AH93">
            <v>108.5</v>
          </cell>
          <cell r="AI93">
            <v>420</v>
          </cell>
          <cell r="AJ93">
            <v>2199.8787005799632</v>
          </cell>
          <cell r="AK93">
            <v>2</v>
          </cell>
          <cell r="AL93" t="str">
            <v>0.02876:-3.91795!27.75000</v>
          </cell>
          <cell r="AM93">
            <v>2.8760000000000001E-2</v>
          </cell>
          <cell r="AN93">
            <v>-3.9179499999999998</v>
          </cell>
          <cell r="AO93">
            <v>0.38874661400110444</v>
          </cell>
          <cell r="AP93">
            <v>27.75</v>
          </cell>
          <cell r="AQ93">
            <v>27.750000000000004</v>
          </cell>
          <cell r="AR93">
            <v>2.2413912588600264</v>
          </cell>
          <cell r="AS93" t="str">
            <v/>
          </cell>
          <cell r="AT93">
            <v>0</v>
          </cell>
          <cell r="AU93" t="str">
            <v/>
          </cell>
          <cell r="AV93">
            <v>1</v>
          </cell>
          <cell r="AW93" t="str">
            <v>PROBLEM FRAC possible? KH prefrac Estimate is at least 50% higher than for a perfect frac</v>
          </cell>
          <cell r="AY93">
            <v>27.750000000000004</v>
          </cell>
        </row>
        <row r="94">
          <cell r="C94" t="str">
            <v>Priobskoe LB!204</v>
          </cell>
          <cell r="E94" t="str">
            <v>204</v>
          </cell>
          <cell r="F94">
            <v>2488.5500000000002</v>
          </cell>
          <cell r="G94">
            <v>36712</v>
          </cell>
          <cell r="H94">
            <v>235.57571440000001</v>
          </cell>
          <cell r="I94">
            <v>117</v>
          </cell>
          <cell r="J94" t="str">
            <v/>
          </cell>
          <cell r="M94" t="str">
            <v/>
          </cell>
          <cell r="O94" t="str">
            <v/>
          </cell>
          <cell r="P94">
            <v>0</v>
          </cell>
          <cell r="Q94">
            <v>0.25865115128167726</v>
          </cell>
          <cell r="R94" t="str">
            <v/>
          </cell>
          <cell r="S94">
            <v>0.25865115128167726</v>
          </cell>
          <cell r="T94">
            <v>60.599999999999994</v>
          </cell>
          <cell r="U94" t="str">
            <v>Old</v>
          </cell>
          <cell r="X94">
            <v>32.83</v>
          </cell>
          <cell r="Y94">
            <v>0.54290000000000005</v>
          </cell>
          <cell r="Z94">
            <v>-3.7037933954067874</v>
          </cell>
          <cell r="AA94">
            <v>-3.3172600000000001</v>
          </cell>
          <cell r="AB94">
            <v>-4.7568487104705319</v>
          </cell>
          <cell r="AC94" t="str">
            <v>AC-10,32</v>
          </cell>
          <cell r="AE94">
            <v>24.6</v>
          </cell>
          <cell r="AF94" t="str">
            <v>16/30</v>
          </cell>
          <cell r="AG94">
            <v>20.2</v>
          </cell>
          <cell r="AH94">
            <v>56.3</v>
          </cell>
          <cell r="AI94">
            <v>420</v>
          </cell>
          <cell r="AJ94">
            <v>2468.7483035121027</v>
          </cell>
          <cell r="AK94">
            <v>1</v>
          </cell>
          <cell r="AL94" t="str">
            <v>0.02780:-3.31726!60.60000</v>
          </cell>
          <cell r="AM94">
            <v>2.7799999999999998E-2</v>
          </cell>
          <cell r="AN94">
            <v>-3.3172600000000001</v>
          </cell>
          <cell r="AO94">
            <v>0.40634223112869422</v>
          </cell>
          <cell r="AP94">
            <v>60.6</v>
          </cell>
          <cell r="AQ94">
            <v>60.599999999999994</v>
          </cell>
          <cell r="AR94">
            <v>1.8830047786628896</v>
          </cell>
          <cell r="AS94" t="str">
            <v/>
          </cell>
          <cell r="AT94">
            <v>0</v>
          </cell>
          <cell r="AU94" t="str">
            <v/>
          </cell>
          <cell r="AV94">
            <v>1</v>
          </cell>
          <cell r="AW94" t="str">
            <v>PROBLEM FRAC possible? KH prefrac Estimate is at least 50% higher than for a perfect frac</v>
          </cell>
          <cell r="AY94">
            <v>60.6</v>
          </cell>
        </row>
        <row r="95">
          <cell r="C95" t="str">
            <v>Priobskoe LB!2050</v>
          </cell>
          <cell r="E95" t="str">
            <v>2050</v>
          </cell>
          <cell r="F95">
            <v>2658.8</v>
          </cell>
          <cell r="G95">
            <v>36842</v>
          </cell>
          <cell r="H95">
            <v>265</v>
          </cell>
          <cell r="I95">
            <v>117</v>
          </cell>
          <cell r="J95" t="str">
            <v/>
          </cell>
          <cell r="M95" t="str">
            <v/>
          </cell>
          <cell r="O95" t="str">
            <v/>
          </cell>
          <cell r="P95">
            <v>0</v>
          </cell>
          <cell r="Q95">
            <v>0.19804312573382549</v>
          </cell>
          <cell r="R95" t="str">
            <v/>
          </cell>
          <cell r="S95">
            <v>0.19804312573382549</v>
          </cell>
          <cell r="T95">
            <v>46.399999999999991</v>
          </cell>
          <cell r="U95" t="str">
            <v>Old</v>
          </cell>
          <cell r="X95">
            <v>40.5</v>
          </cell>
          <cell r="Y95">
            <v>0.22589999999999999</v>
          </cell>
          <cell r="Z95">
            <v>-0.87233647754562771</v>
          </cell>
          <cell r="AA95">
            <v>0</v>
          </cell>
          <cell r="AB95">
            <v>-4.9645234624546282</v>
          </cell>
          <cell r="AC95" t="str">
            <v>AS-11,99</v>
          </cell>
          <cell r="AE95">
            <v>27.71</v>
          </cell>
          <cell r="AF95" t="str">
            <v>16/30</v>
          </cell>
          <cell r="AG95">
            <v>11.6</v>
          </cell>
          <cell r="AH95">
            <v>70.7</v>
          </cell>
          <cell r="AI95">
            <v>420</v>
          </cell>
          <cell r="AJ95">
            <v>3856.2092716018224</v>
          </cell>
          <cell r="AK95">
            <v>1</v>
          </cell>
          <cell r="AL95" t="str">
            <v>0.00000:0.00000!46.40000</v>
          </cell>
          <cell r="AM95">
            <v>0</v>
          </cell>
          <cell r="AN95">
            <v>0</v>
          </cell>
          <cell r="AO95">
            <v>0</v>
          </cell>
          <cell r="AP95">
            <v>46.4</v>
          </cell>
          <cell r="AQ95">
            <v>46.399999999999991</v>
          </cell>
          <cell r="AR95">
            <v>0.99999999999999989</v>
          </cell>
          <cell r="AS95" t="str">
            <v/>
          </cell>
          <cell r="AT95">
            <v>0</v>
          </cell>
          <cell r="AU95" t="str">
            <v/>
          </cell>
          <cell r="AV95">
            <v>1</v>
          </cell>
          <cell r="AW95" t="str">
            <v>PROBLEM FRAC possible? KH prefrac Estimate is at least 50% higher than for a perfect frac</v>
          </cell>
          <cell r="AY95">
            <v>46.4</v>
          </cell>
        </row>
        <row r="96">
          <cell r="C96" t="str">
            <v>Priobskoe LB!2066</v>
          </cell>
          <cell r="E96" t="str">
            <v>2066</v>
          </cell>
          <cell r="F96">
            <v>2473.3000000000002</v>
          </cell>
          <cell r="G96">
            <v>36640</v>
          </cell>
          <cell r="H96">
            <v>237.645746</v>
          </cell>
          <cell r="I96">
            <v>117</v>
          </cell>
          <cell r="J96" t="str">
            <v/>
          </cell>
          <cell r="M96" t="str">
            <v/>
          </cell>
          <cell r="O96" t="str">
            <v/>
          </cell>
          <cell r="P96">
            <v>0</v>
          </cell>
          <cell r="Q96">
            <v>0.1826777108062011</v>
          </cell>
          <cell r="R96" t="str">
            <v/>
          </cell>
          <cell r="S96">
            <v>0.1826777108062011</v>
          </cell>
          <cell r="T96">
            <v>42.79999999999999</v>
          </cell>
          <cell r="U96" t="str">
            <v>Old</v>
          </cell>
          <cell r="X96">
            <v>29.5</v>
          </cell>
          <cell r="Y96">
            <v>0.40250000000000002</v>
          </cell>
          <cell r="Z96">
            <v>-3.8634359949532708</v>
          </cell>
          <cell r="AA96">
            <v>-3.23095</v>
          </cell>
          <cell r="AB96">
            <v>-5.0003834540137362</v>
          </cell>
          <cell r="AC96" t="str">
            <v>AS-10,100</v>
          </cell>
          <cell r="AE96">
            <v>57.640999999999998</v>
          </cell>
          <cell r="AF96" t="str">
            <v>16/30</v>
          </cell>
          <cell r="AG96">
            <v>21.4</v>
          </cell>
          <cell r="AH96">
            <v>65.2</v>
          </cell>
          <cell r="AI96">
            <v>420</v>
          </cell>
          <cell r="AJ96">
            <v>4714.890481698546</v>
          </cell>
          <cell r="AK96">
            <v>1</v>
          </cell>
          <cell r="AL96" t="str">
            <v>0.00861:-3.23095!42.80000</v>
          </cell>
          <cell r="AM96">
            <v>8.6099999999999996E-3</v>
          </cell>
          <cell r="AN96">
            <v>-3.23095</v>
          </cell>
          <cell r="AO96">
            <v>0.31131293748024907</v>
          </cell>
          <cell r="AP96">
            <v>42.8</v>
          </cell>
          <cell r="AQ96">
            <v>42.79999999999999</v>
          </cell>
          <cell r="AR96">
            <v>1.840715399998581</v>
          </cell>
          <cell r="AS96" t="str">
            <v/>
          </cell>
          <cell r="AT96">
            <v>0</v>
          </cell>
          <cell r="AU96" t="str">
            <v/>
          </cell>
          <cell r="AV96">
            <v>1</v>
          </cell>
          <cell r="AW96" t="str">
            <v>PROBLEM FRAC possible? KH prefrac Estimate is at least 50% higher than for a perfect frac</v>
          </cell>
          <cell r="AY96">
            <v>42.8</v>
          </cell>
        </row>
        <row r="97">
          <cell r="C97" t="str">
            <v>Priobskoe LB!2068</v>
          </cell>
          <cell r="E97" t="str">
            <v>2068</v>
          </cell>
          <cell r="F97">
            <v>2604.9</v>
          </cell>
          <cell r="G97">
            <v>36784</v>
          </cell>
          <cell r="H97">
            <v>255</v>
          </cell>
          <cell r="I97">
            <v>117</v>
          </cell>
          <cell r="J97" t="str">
            <v/>
          </cell>
          <cell r="M97" t="str">
            <v/>
          </cell>
          <cell r="O97" t="str">
            <v/>
          </cell>
          <cell r="P97">
            <v>0</v>
          </cell>
          <cell r="Q97">
            <v>0.1410203636690861</v>
          </cell>
          <cell r="R97" t="str">
            <v/>
          </cell>
          <cell r="S97">
            <v>0.1410203636690861</v>
          </cell>
          <cell r="T97">
            <v>33.04</v>
          </cell>
          <cell r="U97" t="str">
            <v>Old</v>
          </cell>
          <cell r="X97">
            <v>28.5</v>
          </cell>
          <cell r="Y97">
            <v>0.35630000000000001</v>
          </cell>
          <cell r="Z97">
            <v>-4.2742016632200244</v>
          </cell>
          <cell r="AA97">
            <v>-3.7968099999999998</v>
          </cell>
          <cell r="AB97">
            <v>-4.9909162845600505</v>
          </cell>
          <cell r="AC97" t="str">
            <v>AC-10,100</v>
          </cell>
          <cell r="AE97">
            <v>17</v>
          </cell>
          <cell r="AF97" t="str">
            <v>16/30</v>
          </cell>
          <cell r="AG97">
            <v>11.8</v>
          </cell>
          <cell r="AH97">
            <v>78.599999999999994</v>
          </cell>
          <cell r="AI97">
            <v>420</v>
          </cell>
          <cell r="AJ97">
            <v>2091.9236978741837</v>
          </cell>
          <cell r="AK97">
            <v>1</v>
          </cell>
          <cell r="AL97" t="str">
            <v>0.05148:-3.79681!33.04000</v>
          </cell>
          <cell r="AM97">
            <v>5.1479999999999998E-2</v>
          </cell>
          <cell r="AN97">
            <v>-3.7968099999999998</v>
          </cell>
          <cell r="AO97">
            <v>0.48933220631844326</v>
          </cell>
          <cell r="AP97">
            <v>33.04</v>
          </cell>
          <cell r="AQ97">
            <v>33.04</v>
          </cell>
          <cell r="AR97">
            <v>2.1585403026887739</v>
          </cell>
          <cell r="AS97" t="str">
            <v/>
          </cell>
          <cell r="AT97">
            <v>0</v>
          </cell>
          <cell r="AU97" t="str">
            <v/>
          </cell>
          <cell r="AV97">
            <v>1</v>
          </cell>
          <cell r="AW97" t="str">
            <v>PROBLEM FRAC possible? KH prefrac Estimate is at least 50% higher than for a perfect frac</v>
          </cell>
          <cell r="AY97">
            <v>33.04</v>
          </cell>
        </row>
        <row r="98">
          <cell r="C98" t="str">
            <v>Priobskoe LB!2078</v>
          </cell>
          <cell r="E98" t="str">
            <v>2078</v>
          </cell>
          <cell r="F98">
            <v>2527.6999999999998</v>
          </cell>
          <cell r="G98">
            <v>36792</v>
          </cell>
          <cell r="H98">
            <v>250</v>
          </cell>
          <cell r="I98">
            <v>117</v>
          </cell>
          <cell r="J98" t="str">
            <v/>
          </cell>
          <cell r="M98" t="str">
            <v/>
          </cell>
          <cell r="O98" t="str">
            <v/>
          </cell>
          <cell r="P98">
            <v>0</v>
          </cell>
          <cell r="Q98">
            <v>0.23218849223965748</v>
          </cell>
          <cell r="R98" t="str">
            <v/>
          </cell>
          <cell r="S98">
            <v>0.23218849223965748</v>
          </cell>
          <cell r="T98">
            <v>54.4</v>
          </cell>
          <cell r="U98" t="str">
            <v>Old</v>
          </cell>
          <cell r="X98">
            <v>31.2</v>
          </cell>
          <cell r="Y98">
            <v>0.49969999999999998</v>
          </cell>
          <cell r="Z98">
            <v>-3.7870496584554783</v>
          </cell>
          <cell r="AA98">
            <v>-3.5165600000000001</v>
          </cell>
          <cell r="AB98">
            <v>-4.7283104148817419</v>
          </cell>
          <cell r="AC98" t="str">
            <v>AS-10,75</v>
          </cell>
          <cell r="AE98">
            <v>22.207999999999998</v>
          </cell>
          <cell r="AF98" t="str">
            <v>16/30</v>
          </cell>
          <cell r="AG98">
            <v>13.6</v>
          </cell>
          <cell r="AH98">
            <v>53.8</v>
          </cell>
          <cell r="AI98">
            <v>420</v>
          </cell>
          <cell r="AJ98">
            <v>3464.0945435875979</v>
          </cell>
          <cell r="AK98">
            <v>1</v>
          </cell>
          <cell r="AL98" t="str">
            <v>0.03421:-3.51656!54.40000</v>
          </cell>
          <cell r="AM98">
            <v>3.4209999999999997E-2</v>
          </cell>
          <cell r="AN98">
            <v>-3.5165600000000001</v>
          </cell>
          <cell r="AO98">
            <v>0.55068157219392067</v>
          </cell>
          <cell r="AP98">
            <v>54.4</v>
          </cell>
          <cell r="AQ98">
            <v>54.4</v>
          </cell>
          <cell r="AR98">
            <v>1.9884958055403734</v>
          </cell>
          <cell r="AS98" t="str">
            <v/>
          </cell>
          <cell r="AT98">
            <v>0</v>
          </cell>
          <cell r="AU98" t="str">
            <v/>
          </cell>
          <cell r="AV98">
            <v>1</v>
          </cell>
          <cell r="AW98" t="str">
            <v>PROBLEM FRAC possible? KH prefrac Estimate is at least 50% higher than for a perfect frac</v>
          </cell>
          <cell r="AY98">
            <v>54.4</v>
          </cell>
        </row>
        <row r="99">
          <cell r="C99" t="str">
            <v>Priobskoe LB!2118</v>
          </cell>
          <cell r="E99" t="str">
            <v>2118</v>
          </cell>
          <cell r="F99">
            <v>2475.9499999999998</v>
          </cell>
          <cell r="G99">
            <v>36585</v>
          </cell>
          <cell r="H99">
            <v>245.90547799999999</v>
          </cell>
          <cell r="I99">
            <v>117</v>
          </cell>
          <cell r="J99" t="str">
            <v/>
          </cell>
          <cell r="M99" t="str">
            <v/>
          </cell>
          <cell r="O99" t="str">
            <v/>
          </cell>
          <cell r="P99">
            <v>0</v>
          </cell>
          <cell r="Q99">
            <v>0.11319188996683302</v>
          </cell>
          <cell r="R99" t="str">
            <v/>
          </cell>
          <cell r="S99">
            <v>0.11319188996683302</v>
          </cell>
          <cell r="T99">
            <v>26.519999999999996</v>
          </cell>
          <cell r="U99" t="str">
            <v>Old</v>
          </cell>
          <cell r="X99">
            <v>41</v>
          </cell>
          <cell r="Y99">
            <v>0.79590000000000005</v>
          </cell>
          <cell r="Z99">
            <v>-6.0679841467010469</v>
          </cell>
          <cell r="AA99">
            <v>-4.9392199999999997</v>
          </cell>
          <cell r="AB99">
            <v>-4.9315193648206233</v>
          </cell>
          <cell r="AC99" t="str">
            <v>AC-10,100</v>
          </cell>
          <cell r="AE99">
            <v>40.835000000000001</v>
          </cell>
          <cell r="AF99" t="str">
            <v>16/30</v>
          </cell>
          <cell r="AG99">
            <v>22.1</v>
          </cell>
          <cell r="AH99">
            <v>59.4</v>
          </cell>
          <cell r="AI99">
            <v>420</v>
          </cell>
          <cell r="AJ99">
            <v>3550.2203820618142</v>
          </cell>
          <cell r="AK99">
            <v>1</v>
          </cell>
          <cell r="AL99" t="str">
            <v>1:-4.93922!44.23983</v>
          </cell>
          <cell r="AM99">
            <v>1</v>
          </cell>
          <cell r="AN99">
            <v>-4.9392199999999997</v>
          </cell>
          <cell r="AO99">
            <v>29.857104780707232</v>
          </cell>
          <cell r="AP99">
            <v>44.239829999999998</v>
          </cell>
          <cell r="AQ99">
            <v>26.519999999999996</v>
          </cell>
          <cell r="AR99">
            <v>5.52771093801422</v>
          </cell>
          <cell r="AS99">
            <v>4.726655080111299</v>
          </cell>
          <cell r="AT99">
            <v>0</v>
          </cell>
          <cell r="AU99" t="str">
            <v/>
          </cell>
          <cell r="AV99">
            <v>0</v>
          </cell>
          <cell r="AW99" t="str">
            <v>Prefrac kh estimate too low by 167%</v>
          </cell>
          <cell r="AY99">
            <v>44.239829999999998</v>
          </cell>
        </row>
        <row r="100">
          <cell r="C100" t="str">
            <v>Priobskoe LB!2119</v>
          </cell>
          <cell r="E100" t="str">
            <v>2119</v>
          </cell>
          <cell r="F100">
            <v>2465.1</v>
          </cell>
          <cell r="G100">
            <v>36752</v>
          </cell>
          <cell r="H100">
            <v>230.405734</v>
          </cell>
          <cell r="I100">
            <v>117</v>
          </cell>
          <cell r="J100" t="str">
            <v/>
          </cell>
          <cell r="M100" t="str">
            <v/>
          </cell>
          <cell r="O100" t="str">
            <v/>
          </cell>
          <cell r="P100">
            <v>0</v>
          </cell>
          <cell r="Q100">
            <v>0.16005640549608741</v>
          </cell>
          <cell r="R100" t="str">
            <v/>
          </cell>
          <cell r="S100">
            <v>0.16005640549608741</v>
          </cell>
          <cell r="T100">
            <v>37.5</v>
          </cell>
          <cell r="U100" t="str">
            <v>Old</v>
          </cell>
          <cell r="X100">
            <v>127</v>
          </cell>
          <cell r="Y100">
            <v>6.8699999999999997E-2</v>
          </cell>
          <cell r="Z100">
            <v>9.4069783968816161</v>
          </cell>
          <cell r="AA100">
            <v>0</v>
          </cell>
          <cell r="AB100">
            <v>-4.8440664737032826</v>
          </cell>
          <cell r="AC100" t="str">
            <v>AS-10,100</v>
          </cell>
          <cell r="AE100">
            <v>37</v>
          </cell>
          <cell r="AF100" t="str">
            <v>16/20</v>
          </cell>
          <cell r="AG100">
            <v>12.5</v>
          </cell>
          <cell r="AH100">
            <v>53.4</v>
          </cell>
          <cell r="AI100">
            <v>420</v>
          </cell>
          <cell r="AJ100">
            <v>6326.3312164142653</v>
          </cell>
          <cell r="AK100">
            <v>1</v>
          </cell>
          <cell r="AL100" t="str">
            <v>0.00000:0.00000!37.50000</v>
          </cell>
          <cell r="AM100">
            <v>0</v>
          </cell>
          <cell r="AN100">
            <v>0</v>
          </cell>
          <cell r="AO100">
            <v>0</v>
          </cell>
          <cell r="AP100">
            <v>37.5</v>
          </cell>
          <cell r="AQ100">
            <v>37.5</v>
          </cell>
          <cell r="AR100">
            <v>1</v>
          </cell>
          <cell r="AS100" t="str">
            <v/>
          </cell>
          <cell r="AT100">
            <v>0</v>
          </cell>
          <cell r="AU100" t="str">
            <v/>
          </cell>
          <cell r="AV100">
            <v>1</v>
          </cell>
          <cell r="AW100" t="str">
            <v>PROBLEM FRAC possible? KH prefrac Estimate is at least 50% higher than for a perfect frac</v>
          </cell>
          <cell r="AY100">
            <v>37.5</v>
          </cell>
        </row>
        <row r="101">
          <cell r="C101" t="str">
            <v>Priobskoe LB!213</v>
          </cell>
          <cell r="E101" t="str">
            <v>213</v>
          </cell>
          <cell r="F101">
            <v>2456.1999999999998</v>
          </cell>
          <cell r="G101">
            <v>36661</v>
          </cell>
          <cell r="H101">
            <v>247.97550960000001</v>
          </cell>
          <cell r="I101">
            <v>117</v>
          </cell>
          <cell r="J101" t="str">
            <v/>
          </cell>
          <cell r="M101" t="str">
            <v/>
          </cell>
          <cell r="O101" t="str">
            <v/>
          </cell>
          <cell r="P101">
            <v>0</v>
          </cell>
          <cell r="Q101">
            <v>0.10755790449337076</v>
          </cell>
          <cell r="R101" t="str">
            <v/>
          </cell>
          <cell r="S101">
            <v>0.10755790449337076</v>
          </cell>
          <cell r="T101">
            <v>25.200000000000006</v>
          </cell>
          <cell r="U101" t="str">
            <v>Old</v>
          </cell>
          <cell r="X101">
            <v>24.33</v>
          </cell>
          <cell r="Y101">
            <v>1.1298999999999999</v>
          </cell>
          <cell r="Z101">
            <v>-6.4006505199124986</v>
          </cell>
          <cell r="AA101">
            <v>-5.1027899999999997</v>
          </cell>
          <cell r="AB101">
            <v>-5.1353310319994447</v>
          </cell>
          <cell r="AC101" t="str">
            <v>AS-10,100</v>
          </cell>
          <cell r="AE101">
            <v>50.21</v>
          </cell>
          <cell r="AF101" t="str">
            <v>16/30</v>
          </cell>
          <cell r="AG101">
            <v>8.4</v>
          </cell>
          <cell r="AH101">
            <v>74.400000000000006</v>
          </cell>
          <cell r="AI101">
            <v>420</v>
          </cell>
          <cell r="AJ101">
            <v>9169.3694483403451</v>
          </cell>
          <cell r="AK101">
            <v>1</v>
          </cell>
          <cell r="AL101" t="str">
            <v>1:-5.10279!73.46205</v>
          </cell>
          <cell r="AM101">
            <v>1</v>
          </cell>
          <cell r="AN101">
            <v>-5.1027899999999997</v>
          </cell>
          <cell r="AO101">
            <v>14.092329159460544</v>
          </cell>
          <cell r="AP101">
            <v>73.462050000000005</v>
          </cell>
          <cell r="AQ101">
            <v>25.200000000000006</v>
          </cell>
          <cell r="AR101">
            <v>10.461340844784473</v>
          </cell>
          <cell r="AS101">
            <v>13.547935011041538</v>
          </cell>
          <cell r="AT101">
            <v>0</v>
          </cell>
          <cell r="AU101" t="str">
            <v/>
          </cell>
          <cell r="AV101">
            <v>0</v>
          </cell>
          <cell r="AW101" t="str">
            <v>Prefrac kh estimate too low by 292%</v>
          </cell>
          <cell r="AY101">
            <v>73.462050000000005</v>
          </cell>
        </row>
        <row r="102">
          <cell r="C102" t="str">
            <v>Priobskoe LB!2130</v>
          </cell>
          <cell r="E102" t="str">
            <v>2130</v>
          </cell>
          <cell r="F102">
            <v>2521.1999999999998</v>
          </cell>
          <cell r="G102">
            <v>36643</v>
          </cell>
          <cell r="H102">
            <v>238.10462000000001</v>
          </cell>
          <cell r="I102">
            <v>117</v>
          </cell>
          <cell r="J102" t="str">
            <v/>
          </cell>
          <cell r="M102" t="str">
            <v/>
          </cell>
          <cell r="O102" t="str">
            <v/>
          </cell>
          <cell r="P102">
            <v>0</v>
          </cell>
          <cell r="Q102">
            <v>0.25352934630580254</v>
          </cell>
          <cell r="R102" t="str">
            <v/>
          </cell>
          <cell r="S102">
            <v>0.25352934630580254</v>
          </cell>
          <cell r="T102">
            <v>59.400000000000013</v>
          </cell>
          <cell r="U102" t="str">
            <v>Old</v>
          </cell>
          <cell r="X102">
            <v>28.67</v>
          </cell>
          <cell r="Y102">
            <v>1.3883000000000001</v>
          </cell>
          <cell r="Z102">
            <v>-5.782193917742724</v>
          </cell>
          <cell r="AA102">
            <v>-5.2286200000000003</v>
          </cell>
          <cell r="AB102">
            <v>-5.151233965320519</v>
          </cell>
          <cell r="AC102" t="str">
            <v>AS-10,94</v>
          </cell>
          <cell r="AE102">
            <v>50</v>
          </cell>
          <cell r="AF102" t="str">
            <v>16/30</v>
          </cell>
          <cell r="AG102">
            <v>19.8</v>
          </cell>
          <cell r="AH102">
            <v>87.8</v>
          </cell>
          <cell r="AI102">
            <v>420</v>
          </cell>
          <cell r="AJ102">
            <v>3282.5531736099233</v>
          </cell>
          <cell r="AK102">
            <v>1</v>
          </cell>
          <cell r="AL102" t="str">
            <v>1:-5.22862!68.85362</v>
          </cell>
          <cell r="AM102">
            <v>1</v>
          </cell>
          <cell r="AN102">
            <v>-5.2286200000000003</v>
          </cell>
          <cell r="AO102">
            <v>10.751168435740688</v>
          </cell>
          <cell r="AP102">
            <v>68.853620000000006</v>
          </cell>
          <cell r="AQ102">
            <v>59.400000000000013</v>
          </cell>
          <cell r="AR102">
            <v>4.4433607662029555</v>
          </cell>
          <cell r="AS102">
            <v>1.1258475227129834</v>
          </cell>
          <cell r="AT102">
            <v>0</v>
          </cell>
          <cell r="AU102" t="str">
            <v/>
          </cell>
          <cell r="AV102">
            <v>0</v>
          </cell>
          <cell r="AW102" t="str">
            <v>Prefrac  kh estimate acceptable</v>
          </cell>
          <cell r="AY102">
            <v>68.853620000000006</v>
          </cell>
        </row>
        <row r="103">
          <cell r="C103" t="str">
            <v>Priobskoe LB!214</v>
          </cell>
          <cell r="E103" t="str">
            <v>214</v>
          </cell>
          <cell r="F103">
            <v>2419.6</v>
          </cell>
          <cell r="G103">
            <v>36635</v>
          </cell>
          <cell r="H103">
            <v>196.31649440000001</v>
          </cell>
          <cell r="I103">
            <v>117</v>
          </cell>
          <cell r="J103">
            <v>28.488599999999998</v>
          </cell>
          <cell r="K103">
            <v>32.299999999999997</v>
          </cell>
          <cell r="L103">
            <v>2</v>
          </cell>
          <cell r="M103">
            <v>98</v>
          </cell>
          <cell r="N103">
            <v>911</v>
          </cell>
          <cell r="O103">
            <v>148.774</v>
          </cell>
          <cell r="P103">
            <v>0</v>
          </cell>
          <cell r="R103">
            <v>0.67939220286262458</v>
          </cell>
          <cell r="S103">
            <v>0.67939220286262458</v>
          </cell>
          <cell r="T103">
            <v>159.17643238571424</v>
          </cell>
          <cell r="U103" t="str">
            <v>Old</v>
          </cell>
          <cell r="X103">
            <v>30.2</v>
          </cell>
          <cell r="Y103">
            <v>1.3651</v>
          </cell>
          <cell r="Z103">
            <v>-3.5533869364535242</v>
          </cell>
          <cell r="AA103">
            <v>-3.4947599999999999</v>
          </cell>
          <cell r="AB103">
            <v>-4.6539836795357976</v>
          </cell>
          <cell r="AC103" t="str">
            <v>AC-10,100</v>
          </cell>
          <cell r="AE103">
            <v>53</v>
          </cell>
          <cell r="AF103" t="str">
            <v>16/30</v>
          </cell>
          <cell r="AG103">
            <v>28.4</v>
          </cell>
          <cell r="AH103">
            <v>52.2</v>
          </cell>
          <cell r="AI103">
            <v>420</v>
          </cell>
          <cell r="AJ103">
            <v>4635.182408795602</v>
          </cell>
          <cell r="AK103">
            <v>1</v>
          </cell>
          <cell r="AL103" t="str">
            <v>0.03989:-3.49476!159.17643</v>
          </cell>
          <cell r="AM103">
            <v>3.9890000000000002E-2</v>
          </cell>
          <cell r="AN103">
            <v>-3.4947599999999999</v>
          </cell>
          <cell r="AO103">
            <v>0.6319750644500246</v>
          </cell>
          <cell r="AP103">
            <v>159.17643000000001</v>
          </cell>
          <cell r="AQ103">
            <v>159.17643238571424</v>
          </cell>
          <cell r="AR103">
            <v>1.9763846726414382</v>
          </cell>
          <cell r="AS103" t="str">
            <v/>
          </cell>
          <cell r="AT103">
            <v>0</v>
          </cell>
          <cell r="AU103" t="str">
            <v/>
          </cell>
          <cell r="AV103">
            <v>0</v>
          </cell>
          <cell r="AW103" t="str">
            <v>Proppant Pack damage=4%</v>
          </cell>
          <cell r="AY103">
            <v>159.17643238571424</v>
          </cell>
        </row>
        <row r="104">
          <cell r="C104" t="str">
            <v>Priobskoe LB!224</v>
          </cell>
          <cell r="E104" t="str">
            <v>224</v>
          </cell>
          <cell r="F104">
            <v>2484.3000000000002</v>
          </cell>
          <cell r="G104">
            <v>36550</v>
          </cell>
          <cell r="H104">
            <v>242.8055292</v>
          </cell>
          <cell r="I104">
            <v>117</v>
          </cell>
          <cell r="J104" t="str">
            <v/>
          </cell>
          <cell r="M104" t="str">
            <v/>
          </cell>
          <cell r="O104" t="str">
            <v/>
          </cell>
          <cell r="P104">
            <v>0</v>
          </cell>
          <cell r="Q104">
            <v>0.25073369442313748</v>
          </cell>
          <cell r="R104" t="str">
            <v/>
          </cell>
          <cell r="S104">
            <v>0.25073369442313748</v>
          </cell>
          <cell r="T104">
            <v>58.744999999999997</v>
          </cell>
          <cell r="U104" t="str">
            <v>Old</v>
          </cell>
          <cell r="X104">
            <v>76</v>
          </cell>
          <cell r="Y104">
            <v>0.91879999999999995</v>
          </cell>
          <cell r="Z104">
            <v>-5.1435914061313728</v>
          </cell>
          <cell r="AA104">
            <v>-4.9936100000000003</v>
          </cell>
          <cell r="AB104">
            <v>-4.9252348459254254</v>
          </cell>
          <cell r="AC104" t="str">
            <v>AC-10,100</v>
          </cell>
          <cell r="AE104">
            <v>37.5</v>
          </cell>
          <cell r="AF104" t="str">
            <v>16/30</v>
          </cell>
          <cell r="AG104">
            <v>37.9</v>
          </cell>
          <cell r="AH104">
            <v>65.400000000000006</v>
          </cell>
          <cell r="AI104">
            <v>420</v>
          </cell>
          <cell r="AJ104">
            <v>2617.6705225368964</v>
          </cell>
          <cell r="AK104">
            <v>1</v>
          </cell>
          <cell r="AL104" t="str">
            <v>1:-4.99361!61.08534</v>
          </cell>
          <cell r="AM104">
            <v>1</v>
          </cell>
          <cell r="AN104">
            <v>-4.9936100000000003</v>
          </cell>
          <cell r="AO104">
            <v>24.833586678740623</v>
          </cell>
          <cell r="AP104">
            <v>61.085340000000002</v>
          </cell>
          <cell r="AQ104">
            <v>58.744999999999997</v>
          </cell>
          <cell r="AR104">
            <v>3.5357341653555676</v>
          </cell>
          <cell r="AS104">
            <v>0.28182267156434548</v>
          </cell>
          <cell r="AT104">
            <v>0</v>
          </cell>
          <cell r="AU104" t="str">
            <v/>
          </cell>
          <cell r="AV104">
            <v>0</v>
          </cell>
          <cell r="AW104" t="str">
            <v>Prefrac  kh estimate acceptable</v>
          </cell>
          <cell r="AY104">
            <v>61.085340000000002</v>
          </cell>
        </row>
        <row r="105">
          <cell r="C105" t="str">
            <v>Priobskoe LB!2253</v>
          </cell>
          <cell r="E105" t="str">
            <v>2253</v>
          </cell>
          <cell r="F105">
            <v>2491.1</v>
          </cell>
          <cell r="G105">
            <v>36817</v>
          </cell>
          <cell r="H105">
            <v>240</v>
          </cell>
          <cell r="I105">
            <v>117</v>
          </cell>
          <cell r="J105" t="str">
            <v/>
          </cell>
          <cell r="M105" t="str">
            <v/>
          </cell>
          <cell r="O105" t="str">
            <v/>
          </cell>
          <cell r="P105">
            <v>0</v>
          </cell>
          <cell r="Q105">
            <v>0.28596744448634287</v>
          </cell>
          <cell r="R105" t="str">
            <v/>
          </cell>
          <cell r="S105">
            <v>0.28596744448634287</v>
          </cell>
          <cell r="T105">
            <v>67</v>
          </cell>
          <cell r="U105" t="str">
            <v>Old</v>
          </cell>
          <cell r="X105">
            <v>28.8</v>
          </cell>
          <cell r="Y105">
            <v>0.49249999999999999</v>
          </cell>
          <cell r="Z105">
            <v>-2.966539696331659</v>
          </cell>
          <cell r="AA105">
            <v>-2.7648199999999998</v>
          </cell>
          <cell r="AB105">
            <v>-4.7722854106718389</v>
          </cell>
          <cell r="AC105" t="str">
            <v>AS-11,100</v>
          </cell>
          <cell r="AE105">
            <v>28.08</v>
          </cell>
          <cell r="AF105" t="str">
            <v>16/30</v>
          </cell>
          <cell r="AG105">
            <v>13.4</v>
          </cell>
          <cell r="AH105">
            <v>57.2</v>
          </cell>
          <cell r="AI105">
            <v>420</v>
          </cell>
          <cell r="AJ105">
            <v>4181.1692525514709</v>
          </cell>
          <cell r="AK105">
            <v>1</v>
          </cell>
          <cell r="AL105" t="str">
            <v>0.01466:-2.76482!67.00000</v>
          </cell>
          <cell r="AM105">
            <v>1.4659999999999999E-2</v>
          </cell>
          <cell r="AN105">
            <v>-2.7648199999999998</v>
          </cell>
          <cell r="AO105">
            <v>0.2143214728755404</v>
          </cell>
          <cell r="AP105">
            <v>67</v>
          </cell>
          <cell r="AQ105">
            <v>67</v>
          </cell>
          <cell r="AR105">
            <v>1.6416047784531491</v>
          </cell>
          <cell r="AS105" t="str">
            <v/>
          </cell>
          <cell r="AT105">
            <v>0</v>
          </cell>
          <cell r="AU105" t="str">
            <v/>
          </cell>
          <cell r="AV105">
            <v>1</v>
          </cell>
          <cell r="AW105" t="str">
            <v>PROBLEM FRAC possible? KH prefrac Estimate is at least 50% higher than for a perfect frac</v>
          </cell>
          <cell r="AY105">
            <v>67</v>
          </cell>
        </row>
        <row r="106">
          <cell r="C106" t="str">
            <v>Priobskoe LB!229</v>
          </cell>
          <cell r="E106" t="str">
            <v>229</v>
          </cell>
          <cell r="F106">
            <v>2501.35</v>
          </cell>
          <cell r="G106">
            <v>36564</v>
          </cell>
          <cell r="H106">
            <v>239.7055804</v>
          </cell>
          <cell r="I106">
            <v>117</v>
          </cell>
          <cell r="J106">
            <v>32.358239999999995</v>
          </cell>
          <cell r="K106">
            <v>36.799999999999997</v>
          </cell>
          <cell r="L106">
            <v>2.2999999999999998</v>
          </cell>
          <cell r="M106">
            <v>97.7</v>
          </cell>
          <cell r="N106">
            <v>1600</v>
          </cell>
          <cell r="O106">
            <v>94.121499999999983</v>
          </cell>
          <cell r="P106">
            <v>0</v>
          </cell>
          <cell r="R106">
            <v>0.25627497919090764</v>
          </cell>
          <cell r="S106">
            <v>0.25627497919090764</v>
          </cell>
          <cell r="T106">
            <v>60.043280928822071</v>
          </cell>
          <cell r="U106" t="str">
            <v>Old</v>
          </cell>
          <cell r="X106">
            <v>62</v>
          </cell>
          <cell r="Y106">
            <v>1.0052000000000001</v>
          </cell>
          <cell r="Z106">
            <v>-5.2705233345453895</v>
          </cell>
          <cell r="AA106">
            <v>-5.0490199999999996</v>
          </cell>
          <cell r="AB106">
            <v>-4.728939038734179</v>
          </cell>
          <cell r="AC106" t="str">
            <v>AC-10 ,99</v>
          </cell>
          <cell r="AE106">
            <v>36.5</v>
          </cell>
          <cell r="AF106" t="str">
            <v>16/30</v>
          </cell>
          <cell r="AG106">
            <v>37.799999999999997</v>
          </cell>
          <cell r="AH106">
            <v>70.599999999999994</v>
          </cell>
          <cell r="AI106">
            <v>420</v>
          </cell>
          <cell r="AJ106">
            <v>2360.2044586771772</v>
          </cell>
          <cell r="AK106">
            <v>1</v>
          </cell>
          <cell r="AL106" t="str">
            <v>1:-5.04902!62.07750</v>
          </cell>
          <cell r="AM106">
            <v>1</v>
          </cell>
          <cell r="AN106">
            <v>-5.0490199999999996</v>
          </cell>
          <cell r="AO106">
            <v>20.356471740580442</v>
          </cell>
          <cell r="AP106">
            <v>62.077500000000001</v>
          </cell>
          <cell r="AQ106">
            <v>60.043280928822071</v>
          </cell>
          <cell r="AR106">
            <v>3.6116618153922415</v>
          </cell>
          <cell r="AS106">
            <v>0.23966310772945132</v>
          </cell>
          <cell r="AT106">
            <v>0</v>
          </cell>
          <cell r="AU106" t="str">
            <v/>
          </cell>
          <cell r="AV106">
            <v>0</v>
          </cell>
          <cell r="AW106" t="str">
            <v>Slight DAMMAGED formation S =0.2</v>
          </cell>
          <cell r="AY106">
            <v>62.077500000000001</v>
          </cell>
        </row>
        <row r="107">
          <cell r="C107" t="str">
            <v>Priobskoe LB!2304</v>
          </cell>
          <cell r="E107" t="str">
            <v>2304</v>
          </cell>
          <cell r="F107">
            <v>2646.9</v>
          </cell>
          <cell r="G107">
            <v>36728</v>
          </cell>
          <cell r="H107">
            <v>247.97550960000001</v>
          </cell>
          <cell r="I107">
            <v>117</v>
          </cell>
          <cell r="J107" t="str">
            <v/>
          </cell>
          <cell r="M107" t="str">
            <v/>
          </cell>
          <cell r="O107" t="str">
            <v/>
          </cell>
          <cell r="P107">
            <v>0</v>
          </cell>
          <cell r="Q107">
            <v>6.7863915930341051E-2</v>
          </cell>
          <cell r="R107" t="str">
            <v/>
          </cell>
          <cell r="S107">
            <v>6.7863915930341051E-2</v>
          </cell>
          <cell r="T107">
            <v>15.899999999999997</v>
          </cell>
          <cell r="U107" t="str">
            <v>Old</v>
          </cell>
          <cell r="X107">
            <v>21.5</v>
          </cell>
          <cell r="Y107">
            <v>0.46</v>
          </cell>
          <cell r="Z107">
            <v>-6.0304102200560399</v>
          </cell>
          <cell r="AA107">
            <v>-5.1549699999999996</v>
          </cell>
          <cell r="AB107">
            <v>-5.1330012515516641</v>
          </cell>
          <cell r="AC107" t="str">
            <v>AC-12,100/AC-10,100</v>
          </cell>
          <cell r="AE107">
            <v>40</v>
          </cell>
          <cell r="AF107" t="str">
            <v>16/30</v>
          </cell>
          <cell r="AG107">
            <v>10.6</v>
          </cell>
          <cell r="AH107">
            <v>73</v>
          </cell>
          <cell r="AI107">
            <v>420</v>
          </cell>
          <cell r="AJ107">
            <v>5899.7381640014846</v>
          </cell>
          <cell r="AK107">
            <v>2</v>
          </cell>
          <cell r="AL107" t="str">
            <v>1:-5.15497!17.06197</v>
          </cell>
          <cell r="AM107">
            <v>1</v>
          </cell>
          <cell r="AN107">
            <v>-5.1549699999999996</v>
          </cell>
          <cell r="AO107">
            <v>50.209577718482741</v>
          </cell>
          <cell r="AP107">
            <v>17.061969999999999</v>
          </cell>
          <cell r="AQ107">
            <v>15.899999999999997</v>
          </cell>
          <cell r="AR107">
            <v>3.9555579667349643</v>
          </cell>
          <cell r="AS107">
            <v>0.51697039265627076</v>
          </cell>
          <cell r="AT107">
            <v>0</v>
          </cell>
          <cell r="AU107" t="str">
            <v/>
          </cell>
          <cell r="AV107">
            <v>0</v>
          </cell>
          <cell r="AW107" t="str">
            <v>Prefrac  kh estimate acceptable</v>
          </cell>
          <cell r="AY107">
            <v>17.061969999999999</v>
          </cell>
        </row>
        <row r="108">
          <cell r="C108" t="str">
            <v>Priobskoe LB!2432</v>
          </cell>
          <cell r="E108" t="str">
            <v>2432</v>
          </cell>
          <cell r="F108">
            <v>2535</v>
          </cell>
          <cell r="G108">
            <v>36635</v>
          </cell>
          <cell r="H108">
            <v>227.3159824</v>
          </cell>
          <cell r="I108">
            <v>117</v>
          </cell>
          <cell r="J108" t="str">
            <v/>
          </cell>
          <cell r="M108" t="str">
            <v/>
          </cell>
          <cell r="O108" t="str">
            <v/>
          </cell>
          <cell r="P108">
            <v>0</v>
          </cell>
          <cell r="Q108">
            <v>4.8657147270810573E-2</v>
          </cell>
          <cell r="R108" t="str">
            <v/>
          </cell>
          <cell r="S108">
            <v>4.8657147270810573E-2</v>
          </cell>
          <cell r="T108">
            <v>11.4</v>
          </cell>
          <cell r="U108" t="str">
            <v>Old</v>
          </cell>
          <cell r="X108">
            <v>17.5</v>
          </cell>
          <cell r="Y108">
            <v>0.49880000000000002</v>
          </cell>
          <cell r="Z108">
            <v>-6.3839840650849915</v>
          </cell>
          <cell r="AA108">
            <v>-5.1033799999999996</v>
          </cell>
          <cell r="AB108">
            <v>-5.0975587904270157</v>
          </cell>
          <cell r="AC108" t="str">
            <v>AC-12,83/AC-11,100</v>
          </cell>
          <cell r="AE108">
            <v>46.555999999999997</v>
          </cell>
          <cell r="AF108" t="str">
            <v>16/30</v>
          </cell>
          <cell r="AG108">
            <v>11.4</v>
          </cell>
          <cell r="AH108">
            <v>68.7</v>
          </cell>
          <cell r="AI108">
            <v>420</v>
          </cell>
          <cell r="AJ108">
            <v>6784.4640079408691</v>
          </cell>
          <cell r="AK108">
            <v>2</v>
          </cell>
          <cell r="AL108" t="str">
            <v>1:-5.10338!17.59065</v>
          </cell>
          <cell r="AM108">
            <v>1</v>
          </cell>
          <cell r="AN108">
            <v>-5.1033799999999996</v>
          </cell>
          <cell r="AO108">
            <v>64.000264606072435</v>
          </cell>
          <cell r="AP108">
            <v>17.59065</v>
          </cell>
          <cell r="AQ108">
            <v>11.4</v>
          </cell>
          <cell r="AR108">
            <v>5.5390066978760002</v>
          </cell>
          <cell r="AS108">
            <v>3.8414862225532902</v>
          </cell>
          <cell r="AT108">
            <v>0</v>
          </cell>
          <cell r="AU108" t="str">
            <v/>
          </cell>
          <cell r="AV108">
            <v>0</v>
          </cell>
          <cell r="AW108" t="str">
            <v>Prefrac kh estimate too low by 154%</v>
          </cell>
          <cell r="AY108">
            <v>17.59065</v>
          </cell>
        </row>
        <row r="109">
          <cell r="C109" t="str">
            <v>Priobskoe LB!2433</v>
          </cell>
          <cell r="E109" t="str">
            <v>2433</v>
          </cell>
          <cell r="F109">
            <v>2609.15</v>
          </cell>
          <cell r="G109">
            <v>36643</v>
          </cell>
          <cell r="H109">
            <v>268.64523400000002</v>
          </cell>
          <cell r="I109">
            <v>117</v>
          </cell>
          <cell r="J109" t="str">
            <v/>
          </cell>
          <cell r="M109" t="str">
            <v/>
          </cell>
          <cell r="O109" t="str">
            <v/>
          </cell>
          <cell r="P109">
            <v>0</v>
          </cell>
          <cell r="Q109">
            <v>0.16056858599367491</v>
          </cell>
          <cell r="R109" t="str">
            <v/>
          </cell>
          <cell r="S109">
            <v>0.16056858599367491</v>
          </cell>
          <cell r="T109">
            <v>37.620000000000005</v>
          </cell>
          <cell r="U109" t="str">
            <v>Old</v>
          </cell>
          <cell r="X109">
            <v>28.67</v>
          </cell>
          <cell r="Y109">
            <v>1.33</v>
          </cell>
          <cell r="Z109">
            <v>-6.220008743775546</v>
          </cell>
          <cell r="AA109">
            <v>-5.2171200000000004</v>
          </cell>
          <cell r="AB109">
            <v>-5.2282283913268746</v>
          </cell>
          <cell r="AC109" t="str">
            <v>AC-12,100/AS-11,100/AS-10,100</v>
          </cell>
          <cell r="AE109">
            <v>57.927999999999997</v>
          </cell>
          <cell r="AF109" t="str">
            <v>16/30</v>
          </cell>
          <cell r="AG109">
            <v>11.4</v>
          </cell>
          <cell r="AH109">
            <v>86.5</v>
          </cell>
          <cell r="AI109">
            <v>420</v>
          </cell>
          <cell r="AJ109">
            <v>6704.5409452255917</v>
          </cell>
          <cell r="AK109">
            <v>3</v>
          </cell>
          <cell r="AL109" t="str">
            <v>1:-5.21712!80.40106</v>
          </cell>
          <cell r="AM109">
            <v>1</v>
          </cell>
          <cell r="AN109">
            <v>-5.2171200000000004</v>
          </cell>
          <cell r="AO109">
            <v>10.989957597325462</v>
          </cell>
          <cell r="AP109">
            <v>80.401060000000001</v>
          </cell>
          <cell r="AQ109">
            <v>37.620000000000005</v>
          </cell>
          <cell r="AR109">
            <v>8.1417218984789574</v>
          </cell>
          <cell r="AS109">
            <v>8.0445291555875507</v>
          </cell>
          <cell r="AT109">
            <v>0</v>
          </cell>
          <cell r="AU109" t="str">
            <v/>
          </cell>
          <cell r="AV109">
            <v>0</v>
          </cell>
          <cell r="AW109" t="str">
            <v>Prefrac kh estimate too low by 214%</v>
          </cell>
          <cell r="AY109">
            <v>80.401060000000001</v>
          </cell>
        </row>
        <row r="110">
          <cell r="C110" t="str">
            <v>Priobskoe LB!2771</v>
          </cell>
          <cell r="E110" t="str">
            <v>2771</v>
          </cell>
          <cell r="F110">
            <v>2512.4</v>
          </cell>
          <cell r="G110">
            <v>36706</v>
          </cell>
          <cell r="H110">
            <v>206.64625799999999</v>
          </cell>
          <cell r="I110">
            <v>117</v>
          </cell>
          <cell r="J110" t="str">
            <v/>
          </cell>
          <cell r="M110" t="str">
            <v/>
          </cell>
          <cell r="O110" t="str">
            <v/>
          </cell>
          <cell r="P110">
            <v>0</v>
          </cell>
          <cell r="Q110">
            <v>0.55059403490654069</v>
          </cell>
          <cell r="R110" t="str">
            <v/>
          </cell>
          <cell r="S110">
            <v>0.55059403490654069</v>
          </cell>
          <cell r="T110">
            <v>128.99999999999997</v>
          </cell>
          <cell r="U110" t="str">
            <v>Old</v>
          </cell>
          <cell r="X110">
            <v>43.5</v>
          </cell>
          <cell r="Y110">
            <v>0.67359999999999998</v>
          </cell>
          <cell r="Z110">
            <v>-1.2917901672816425</v>
          </cell>
          <cell r="AA110">
            <v>-1.2922800000000001</v>
          </cell>
          <cell r="AB110">
            <v>-4.6811811756737365</v>
          </cell>
          <cell r="AC110" t="str">
            <v>AS-11,70</v>
          </cell>
          <cell r="AE110">
            <v>32.9</v>
          </cell>
          <cell r="AF110" t="str">
            <v>16/30</v>
          </cell>
          <cell r="AG110">
            <v>25.8</v>
          </cell>
          <cell r="AH110">
            <v>58.8</v>
          </cell>
          <cell r="AI110">
            <v>420</v>
          </cell>
          <cell r="AJ110">
            <v>2554.3478260869565</v>
          </cell>
          <cell r="AK110">
            <v>1</v>
          </cell>
          <cell r="AL110" t="str">
            <v>0.00552:-1.29228!129.00000</v>
          </cell>
          <cell r="AM110">
            <v>5.5199999999999997E-3</v>
          </cell>
          <cell r="AN110">
            <v>-1.2922800000000001</v>
          </cell>
          <cell r="AO110">
            <v>4.7959183673469394E-2</v>
          </cell>
          <cell r="AP110">
            <v>129</v>
          </cell>
          <cell r="AQ110">
            <v>128.99999999999997</v>
          </cell>
          <cell r="AR110">
            <v>1.2235095639590938</v>
          </cell>
          <cell r="AS110" t="str">
            <v/>
          </cell>
          <cell r="AT110">
            <v>0</v>
          </cell>
          <cell r="AU110" t="str">
            <v/>
          </cell>
          <cell r="AV110">
            <v>1</v>
          </cell>
          <cell r="AW110" t="str">
            <v>PROBLEM FRAC possible? KH prefrac Estimate is at least 50% higher than for a perfect frac</v>
          </cell>
          <cell r="AY110">
            <v>129</v>
          </cell>
        </row>
        <row r="111">
          <cell r="C111" t="str">
            <v>Priobskoe LB!3012</v>
          </cell>
          <cell r="E111" t="str">
            <v>3012</v>
          </cell>
          <cell r="F111">
            <v>2503.6</v>
          </cell>
          <cell r="G111">
            <v>36736</v>
          </cell>
          <cell r="H111">
            <v>228.3458996</v>
          </cell>
          <cell r="I111">
            <v>117</v>
          </cell>
          <cell r="J111" t="str">
            <v/>
          </cell>
          <cell r="M111" t="str">
            <v/>
          </cell>
          <cell r="O111" t="str">
            <v/>
          </cell>
          <cell r="P111">
            <v>0</v>
          </cell>
          <cell r="Q111">
            <v>0.2970646886007382</v>
          </cell>
          <cell r="R111" t="str">
            <v/>
          </cell>
          <cell r="S111">
            <v>0.2970646886007382</v>
          </cell>
          <cell r="T111">
            <v>69.59999999999998</v>
          </cell>
          <cell r="U111" t="str">
            <v>Old</v>
          </cell>
          <cell r="X111">
            <v>20.5</v>
          </cell>
          <cell r="Y111">
            <v>0.69</v>
          </cell>
          <cell r="Z111">
            <v>-4.028467350910903</v>
          </cell>
          <cell r="AA111">
            <v>-3.5588799999999998</v>
          </cell>
          <cell r="AB111">
            <v>-4.9350015898841608</v>
          </cell>
          <cell r="AC111" t="str">
            <v>AC-11,99</v>
          </cell>
          <cell r="AE111">
            <v>34.520000000000003</v>
          </cell>
          <cell r="AF111" t="str">
            <v>16/30</v>
          </cell>
          <cell r="AG111">
            <v>17.399999999999999</v>
          </cell>
          <cell r="AH111">
            <v>71.599999999999994</v>
          </cell>
          <cell r="AI111">
            <v>420</v>
          </cell>
          <cell r="AJ111">
            <v>3162.3503890512848</v>
          </cell>
          <cell r="AK111">
            <v>1</v>
          </cell>
          <cell r="AL111" t="str">
            <v>0.03705:-3.55888!69.60000</v>
          </cell>
          <cell r="AM111">
            <v>3.705E-2</v>
          </cell>
          <cell r="AN111">
            <v>-3.5588799999999998</v>
          </cell>
          <cell r="AO111">
            <v>0.40909595640485374</v>
          </cell>
          <cell r="AP111">
            <v>69.599999999999994</v>
          </cell>
          <cell r="AQ111">
            <v>69.59999999999998</v>
          </cell>
          <cell r="AR111">
            <v>2.0124358249393342</v>
          </cell>
          <cell r="AS111" t="str">
            <v/>
          </cell>
          <cell r="AT111">
            <v>0</v>
          </cell>
          <cell r="AU111" t="str">
            <v/>
          </cell>
          <cell r="AV111">
            <v>1</v>
          </cell>
          <cell r="AW111" t="str">
            <v>PROBLEM FRAC possible? KH prefrac Estimate is at least 50% higher than for a perfect frac</v>
          </cell>
          <cell r="AY111">
            <v>69.599999999999994</v>
          </cell>
        </row>
        <row r="112">
          <cell r="C112" t="str">
            <v>Priobskoe LB!3050</v>
          </cell>
          <cell r="E112" t="str">
            <v>3050</v>
          </cell>
          <cell r="F112">
            <v>2725.4</v>
          </cell>
          <cell r="G112">
            <v>36790</v>
          </cell>
          <cell r="H112">
            <v>265</v>
          </cell>
          <cell r="I112">
            <v>117</v>
          </cell>
          <cell r="J112" t="str">
            <v/>
          </cell>
          <cell r="M112" t="str">
            <v/>
          </cell>
          <cell r="O112" t="str">
            <v/>
          </cell>
          <cell r="P112">
            <v>0</v>
          </cell>
          <cell r="Q112">
            <v>8.38695564799498E-2</v>
          </cell>
          <cell r="R112" t="str">
            <v/>
          </cell>
          <cell r="S112">
            <v>8.38695564799498E-2</v>
          </cell>
          <cell r="T112">
            <v>19.649999999999995</v>
          </cell>
          <cell r="U112" t="str">
            <v>Old</v>
          </cell>
          <cell r="X112">
            <v>15.5</v>
          </cell>
          <cell r="Y112">
            <v>0.77039999999999997</v>
          </cell>
          <cell r="Z112">
            <v>-6.303930354769486</v>
          </cell>
          <cell r="AA112">
            <v>-5.3265200000000004</v>
          </cell>
          <cell r="AB112">
            <v>-5.2908033918540021</v>
          </cell>
          <cell r="AC112" t="str">
            <v>AC-12,100/AC-10,100</v>
          </cell>
          <cell r="AE112">
            <v>40.945999999999998</v>
          </cell>
          <cell r="AF112" t="str">
            <v>16/30</v>
          </cell>
          <cell r="AG112">
            <v>13.1</v>
          </cell>
          <cell r="AH112">
            <v>90.5</v>
          </cell>
          <cell r="AI112">
            <v>420</v>
          </cell>
          <cell r="AJ112">
            <v>3941.786329221623</v>
          </cell>
          <cell r="AK112">
            <v>2</v>
          </cell>
          <cell r="AL112" t="str">
            <v>1:-5.32652!23.21178</v>
          </cell>
          <cell r="AM112">
            <v>1</v>
          </cell>
          <cell r="AN112">
            <v>-5.3265200000000004</v>
          </cell>
          <cell r="AO112">
            <v>24.581441647779091</v>
          </cell>
          <cell r="AP112">
            <v>23.211780000000001</v>
          </cell>
          <cell r="AQ112">
            <v>19.649999999999995</v>
          </cell>
          <cell r="AR112">
            <v>4.7817858497789532</v>
          </cell>
          <cell r="AS112">
            <v>1.2822491399769858</v>
          </cell>
          <cell r="AT112">
            <v>0</v>
          </cell>
          <cell r="AU112" t="str">
            <v/>
          </cell>
          <cell r="AV112">
            <v>0</v>
          </cell>
          <cell r="AW112" t="str">
            <v>Prefrac  kh estimate acceptable</v>
          </cell>
          <cell r="AY112">
            <v>23.211780000000001</v>
          </cell>
        </row>
        <row r="113">
          <cell r="C113" t="str">
            <v>Priobskoe LB!3078</v>
          </cell>
          <cell r="E113" t="str">
            <v>3078</v>
          </cell>
          <cell r="F113">
            <v>2520</v>
          </cell>
          <cell r="G113">
            <v>36776</v>
          </cell>
          <cell r="H113">
            <v>225</v>
          </cell>
          <cell r="I113">
            <v>117</v>
          </cell>
          <cell r="J113" t="str">
            <v/>
          </cell>
          <cell r="M113" t="str">
            <v/>
          </cell>
          <cell r="O113" t="str">
            <v/>
          </cell>
          <cell r="P113">
            <v>0</v>
          </cell>
          <cell r="Q113">
            <v>0.12117336938757124</v>
          </cell>
          <cell r="R113" t="str">
            <v/>
          </cell>
          <cell r="S113">
            <v>0.12117336938757124</v>
          </cell>
          <cell r="T113">
            <v>28.389999999999997</v>
          </cell>
          <cell r="U113" t="str">
            <v>Old</v>
          </cell>
          <cell r="X113">
            <v>103</v>
          </cell>
          <cell r="Y113">
            <v>0.31780000000000003</v>
          </cell>
          <cell r="Z113">
            <v>-4.3767961985901991</v>
          </cell>
          <cell r="AA113">
            <v>-5.0926900000000002</v>
          </cell>
          <cell r="AB113">
            <v>-5.0660301638475556</v>
          </cell>
          <cell r="AC113" t="str">
            <v>AS-12,100/AC-11,100</v>
          </cell>
          <cell r="AE113">
            <v>30</v>
          </cell>
          <cell r="AF113" t="str">
            <v>16/20</v>
          </cell>
          <cell r="AG113">
            <v>16.7</v>
          </cell>
          <cell r="AH113">
            <v>68.8</v>
          </cell>
          <cell r="AI113">
            <v>420</v>
          </cell>
          <cell r="AJ113">
            <v>2980.0106561396919</v>
          </cell>
          <cell r="AK113">
            <v>2</v>
          </cell>
          <cell r="AL113" t="str">
            <v>1:-5.09269!17.40902</v>
          </cell>
          <cell r="AM113">
            <v>1</v>
          </cell>
          <cell r="AN113">
            <v>-5.0926900000000002</v>
          </cell>
          <cell r="AO113">
            <v>41.550047610253834</v>
          </cell>
          <cell r="AP113">
            <v>17.409020000000002</v>
          </cell>
          <cell r="AQ113">
            <v>28.389999999999997</v>
          </cell>
          <cell r="AR113">
            <v>2.1893454610781848</v>
          </cell>
          <cell r="AS113" t="str">
            <v/>
          </cell>
          <cell r="AT113">
            <v>0</v>
          </cell>
          <cell r="AU113" t="str">
            <v/>
          </cell>
          <cell r="AV113">
            <v>0</v>
          </cell>
          <cell r="AW113" t="str">
            <v>Prefrac  kh estimate acceptable</v>
          </cell>
          <cell r="AY113">
            <v>28.389999999999997</v>
          </cell>
        </row>
        <row r="114">
          <cell r="C114" t="str">
            <v>Priobskoe LB!3079</v>
          </cell>
          <cell r="E114" t="str">
            <v>3079</v>
          </cell>
          <cell r="F114">
            <v>2446</v>
          </cell>
          <cell r="G114">
            <v>36729</v>
          </cell>
          <cell r="H114">
            <v>263.16933760000001</v>
          </cell>
          <cell r="I114">
            <v>117</v>
          </cell>
          <cell r="J114" t="str">
            <v/>
          </cell>
          <cell r="M114" t="str">
            <v/>
          </cell>
          <cell r="O114" t="str">
            <v/>
          </cell>
          <cell r="P114">
            <v>0</v>
          </cell>
          <cell r="Q114">
            <v>0.10755790449337076</v>
          </cell>
          <cell r="R114" t="str">
            <v/>
          </cell>
          <cell r="S114">
            <v>0.10755790449337076</v>
          </cell>
          <cell r="T114">
            <v>25.200000000000006</v>
          </cell>
          <cell r="U114" t="str">
            <v>Old</v>
          </cell>
          <cell r="X114">
            <v>24</v>
          </cell>
          <cell r="Y114">
            <v>0.56999999999999995</v>
          </cell>
          <cell r="Z114">
            <v>-5.739187124509991</v>
          </cell>
          <cell r="AA114">
            <v>-5.0125299999999999</v>
          </cell>
          <cell r="AB114">
            <v>-5.016658471871577</v>
          </cell>
          <cell r="AC114" t="str">
            <v>AC-11,100/AC-10,90</v>
          </cell>
          <cell r="AE114">
            <v>38</v>
          </cell>
          <cell r="AF114" t="str">
            <v>16/20</v>
          </cell>
          <cell r="AG114">
            <v>8.4</v>
          </cell>
          <cell r="AH114">
            <v>63.7</v>
          </cell>
          <cell r="AI114">
            <v>420</v>
          </cell>
          <cell r="AJ114">
            <v>8105.2487884786015</v>
          </cell>
          <cell r="AK114">
            <v>2</v>
          </cell>
          <cell r="AL114" t="str">
            <v>1:-5.01253!31.03908</v>
          </cell>
          <cell r="AM114">
            <v>1</v>
          </cell>
          <cell r="AN114">
            <v>-5.0125299999999999</v>
          </cell>
          <cell r="AO114">
            <v>34.434784022693719</v>
          </cell>
          <cell r="AP114">
            <v>31.039079999999998</v>
          </cell>
          <cell r="AQ114">
            <v>25.200000000000006</v>
          </cell>
          <cell r="AR114">
            <v>4.226583639202139</v>
          </cell>
          <cell r="AS114">
            <v>1.6391238325821709</v>
          </cell>
          <cell r="AT114">
            <v>0</v>
          </cell>
          <cell r="AU114" t="str">
            <v/>
          </cell>
          <cell r="AV114">
            <v>0</v>
          </cell>
          <cell r="AW114" t="str">
            <v>Prefrac  kh estimate acceptable</v>
          </cell>
          <cell r="AY114">
            <v>31.039079999999998</v>
          </cell>
        </row>
        <row r="115">
          <cell r="C115" t="str">
            <v>Priobskoe LB!3081</v>
          </cell>
          <cell r="E115" t="str">
            <v>3081</v>
          </cell>
          <cell r="F115">
            <v>2509.5500000000002</v>
          </cell>
          <cell r="G115">
            <v>36685</v>
          </cell>
          <cell r="H115">
            <v>227.3159824</v>
          </cell>
          <cell r="I115">
            <v>117</v>
          </cell>
          <cell r="J115" t="str">
            <v/>
          </cell>
          <cell r="M115" t="str">
            <v/>
          </cell>
          <cell r="O115" t="str">
            <v/>
          </cell>
          <cell r="P115">
            <v>0</v>
          </cell>
          <cell r="Q115">
            <v>0.24994408282269015</v>
          </cell>
          <cell r="R115" t="str">
            <v/>
          </cell>
          <cell r="S115">
            <v>0.24994408282269015</v>
          </cell>
          <cell r="T115">
            <v>58.56</v>
          </cell>
          <cell r="U115" t="str">
            <v>Old</v>
          </cell>
          <cell r="X115">
            <v>31.25</v>
          </cell>
          <cell r="Y115">
            <v>0.55669999999999997</v>
          </cell>
          <cell r="Z115">
            <v>-3.8979800111634848</v>
          </cell>
          <cell r="AA115">
            <v>-3.5239799999999999</v>
          </cell>
          <cell r="AB115">
            <v>-5.057658972194667</v>
          </cell>
          <cell r="AC115" t="str">
            <v>AS 11,68</v>
          </cell>
          <cell r="AE115">
            <v>25.876000000000001</v>
          </cell>
          <cell r="AF115" t="str">
            <v>12/20</v>
          </cell>
          <cell r="AG115">
            <v>18.3</v>
          </cell>
          <cell r="AH115">
            <v>79.2</v>
          </cell>
          <cell r="AI115">
            <v>590</v>
          </cell>
          <cell r="AJ115">
            <v>2862.365337864268</v>
          </cell>
          <cell r="AK115">
            <v>1</v>
          </cell>
          <cell r="AL115" t="str">
            <v>0.03122:-3.52398!58.56000</v>
          </cell>
          <cell r="AM115">
            <v>3.1220000000000001E-2</v>
          </cell>
          <cell r="AN115">
            <v>-3.5239799999999999</v>
          </cell>
          <cell r="AO115">
            <v>0.3526004018628569</v>
          </cell>
          <cell r="AP115">
            <v>58.56</v>
          </cell>
          <cell r="AQ115">
            <v>58.56</v>
          </cell>
          <cell r="AR115">
            <v>1.9926519645616392</v>
          </cell>
          <cell r="AS115" t="str">
            <v/>
          </cell>
          <cell r="AT115">
            <v>0</v>
          </cell>
          <cell r="AU115" t="str">
            <v/>
          </cell>
          <cell r="AV115">
            <v>1</v>
          </cell>
          <cell r="AW115" t="str">
            <v>PROBLEM FRAC possible? KH prefrac Estimate is at least 50% higher than for a perfect frac</v>
          </cell>
          <cell r="AY115">
            <v>58.56</v>
          </cell>
        </row>
        <row r="116">
          <cell r="C116" t="str">
            <v>Priobskoe LB!3099</v>
          </cell>
          <cell r="E116" t="str">
            <v>3099</v>
          </cell>
          <cell r="F116">
            <v>2511.1999999999998</v>
          </cell>
          <cell r="G116">
            <v>36523</v>
          </cell>
          <cell r="H116">
            <v>196.31649440000001</v>
          </cell>
          <cell r="I116">
            <v>117</v>
          </cell>
          <cell r="J116">
            <v>29.017260000000007</v>
          </cell>
          <cell r="K116">
            <v>32.6</v>
          </cell>
          <cell r="L116">
            <v>1.1000000000000001</v>
          </cell>
          <cell r="M116">
            <v>98.9</v>
          </cell>
          <cell r="N116">
            <v>1260</v>
          </cell>
          <cell r="O116">
            <v>125.60799999999998</v>
          </cell>
          <cell r="P116">
            <v>0</v>
          </cell>
          <cell r="R116">
            <v>0.46104785961897082</v>
          </cell>
          <cell r="S116">
            <v>0.46104785961897082</v>
          </cell>
          <cell r="T116">
            <v>108.02001133365476</v>
          </cell>
          <cell r="U116" t="str">
            <v>Old</v>
          </cell>
          <cell r="X116">
            <v>103</v>
          </cell>
          <cell r="Y116">
            <v>1.0138</v>
          </cell>
          <cell r="Z116">
            <v>-3.8569679164082622</v>
          </cell>
          <cell r="AA116">
            <v>-3.85676</v>
          </cell>
          <cell r="AB116">
            <v>-4.6604914305166343</v>
          </cell>
          <cell r="AC116" t="str">
            <v>AC-11,100</v>
          </cell>
          <cell r="AE116">
            <v>36.299999999999997</v>
          </cell>
          <cell r="AF116" t="str">
            <v>16/30</v>
          </cell>
          <cell r="AG116">
            <v>22.8</v>
          </cell>
          <cell r="AH116">
            <v>47</v>
          </cell>
          <cell r="AI116">
            <v>420</v>
          </cell>
          <cell r="AJ116">
            <v>3866.1205511465987</v>
          </cell>
          <cell r="AK116">
            <v>1</v>
          </cell>
          <cell r="AL116" t="str">
            <v>0.06165:-3.85676!108.02001</v>
          </cell>
          <cell r="AM116">
            <v>6.1650000000000003E-2</v>
          </cell>
          <cell r="AN116">
            <v>-3.85676</v>
          </cell>
          <cell r="AO116">
            <v>1.0703880420135561</v>
          </cell>
          <cell r="AP116">
            <v>108.02001</v>
          </cell>
          <cell r="AQ116">
            <v>108.02001133365476</v>
          </cell>
          <cell r="AR116">
            <v>2.1987619338118805</v>
          </cell>
          <cell r="AS116" t="str">
            <v/>
          </cell>
          <cell r="AT116">
            <v>0</v>
          </cell>
          <cell r="AU116" t="str">
            <v/>
          </cell>
          <cell r="AV116">
            <v>0</v>
          </cell>
          <cell r="AW116" t="str">
            <v>Proppant Pack damage=6%</v>
          </cell>
          <cell r="AY116">
            <v>108.02001133365476</v>
          </cell>
        </row>
        <row r="117">
          <cell r="C117" t="str">
            <v>Priobskoe LB!3101</v>
          </cell>
          <cell r="E117" t="str">
            <v>3101</v>
          </cell>
          <cell r="F117">
            <v>2521.4</v>
          </cell>
          <cell r="G117">
            <v>36706</v>
          </cell>
          <cell r="H117">
            <v>237.645746</v>
          </cell>
          <cell r="I117">
            <v>117</v>
          </cell>
          <cell r="J117">
            <v>84.054599999999994</v>
          </cell>
          <cell r="K117">
            <v>95.3</v>
          </cell>
          <cell r="L117">
            <v>2</v>
          </cell>
          <cell r="M117">
            <v>98</v>
          </cell>
          <cell r="N117">
            <v>1103</v>
          </cell>
          <cell r="O117">
            <v>140.65600000000001</v>
          </cell>
          <cell r="P117">
            <v>0</v>
          </cell>
          <cell r="R117">
            <v>0.9825780964515568</v>
          </cell>
          <cell r="S117">
            <v>0.9825780964515568</v>
          </cell>
          <cell r="T117">
            <v>230.21058421703773</v>
          </cell>
          <cell r="U117" t="str">
            <v>Old</v>
          </cell>
          <cell r="X117">
            <v>27.4</v>
          </cell>
          <cell r="Y117">
            <v>1.38</v>
          </cell>
          <cell r="Z117">
            <v>-2.0372324865389704</v>
          </cell>
          <cell r="AA117">
            <v>-2.0369100000000002</v>
          </cell>
          <cell r="AB117">
            <v>-4.428961188087472</v>
          </cell>
          <cell r="AC117" t="str">
            <v>AC-11,75</v>
          </cell>
          <cell r="AE117">
            <v>29.09</v>
          </cell>
          <cell r="AF117" t="str">
            <v>16/30</v>
          </cell>
          <cell r="AG117">
            <v>27.4</v>
          </cell>
          <cell r="AH117">
            <v>40</v>
          </cell>
          <cell r="AI117">
            <v>420</v>
          </cell>
          <cell r="AJ117">
            <v>3320.054347826087</v>
          </cell>
          <cell r="AK117">
            <v>1</v>
          </cell>
          <cell r="AL117" t="str">
            <v>0.01596:-2.03691!230.21058</v>
          </cell>
          <cell r="AM117">
            <v>1.5959999999999998E-2</v>
          </cell>
          <cell r="AN117">
            <v>-2.0369100000000002</v>
          </cell>
          <cell r="AO117">
            <v>0.15766793239061155</v>
          </cell>
          <cell r="AP117">
            <v>230.21057999999999</v>
          </cell>
          <cell r="AQ117">
            <v>230.21058421703773</v>
          </cell>
          <cell r="AR117">
            <v>1.4043785983959827</v>
          </cell>
          <cell r="AS117" t="str">
            <v/>
          </cell>
          <cell r="AT117">
            <v>0</v>
          </cell>
          <cell r="AU117" t="str">
            <v/>
          </cell>
          <cell r="AV117">
            <v>0</v>
          </cell>
          <cell r="AW117" t="str">
            <v>Proppant Pack damage=2%</v>
          </cell>
          <cell r="AY117">
            <v>230.21058421703773</v>
          </cell>
        </row>
        <row r="118">
          <cell r="C118" t="str">
            <v>Priobskoe LB!3131</v>
          </cell>
          <cell r="E118" t="str">
            <v>3131</v>
          </cell>
          <cell r="F118">
            <v>2493.75</v>
          </cell>
          <cell r="G118">
            <v>36545</v>
          </cell>
          <cell r="H118">
            <v>202.516392</v>
          </cell>
          <cell r="I118">
            <v>117</v>
          </cell>
          <cell r="J118">
            <v>14.230079999999999</v>
          </cell>
          <cell r="K118">
            <v>16.2</v>
          </cell>
          <cell r="L118">
            <v>2.4</v>
          </cell>
          <cell r="M118">
            <v>97.6</v>
          </cell>
          <cell r="N118">
            <v>1612</v>
          </cell>
          <cell r="O118">
            <v>92.357500000000002</v>
          </cell>
          <cell r="P118">
            <v>0</v>
          </cell>
          <cell r="R118">
            <v>0.1502056444617752</v>
          </cell>
          <cell r="S118">
            <v>0.1502056444617752</v>
          </cell>
          <cell r="T118">
            <v>35.192041517227885</v>
          </cell>
          <cell r="U118" t="str">
            <v>Old</v>
          </cell>
          <cell r="X118">
            <v>81</v>
          </cell>
          <cell r="Y118">
            <v>0.65780000000000005</v>
          </cell>
          <cell r="Z118">
            <v>-5.4587197110494818</v>
          </cell>
          <cell r="AA118">
            <v>-4.7047499999999998</v>
          </cell>
          <cell r="AB118">
            <v>-4.6338484520547922</v>
          </cell>
          <cell r="AC118" t="str">
            <v>AC-11,100</v>
          </cell>
          <cell r="AE118">
            <v>41.6</v>
          </cell>
          <cell r="AF118" t="str">
            <v>16/30</v>
          </cell>
          <cell r="AG118">
            <v>21.4</v>
          </cell>
          <cell r="AH118">
            <v>45.9</v>
          </cell>
          <cell r="AI118">
            <v>420</v>
          </cell>
          <cell r="AJ118">
            <v>4833.5736841126818</v>
          </cell>
          <cell r="AK118">
            <v>1</v>
          </cell>
          <cell r="AL118" t="str">
            <v>1:-4.70475!50.23636</v>
          </cell>
          <cell r="AM118">
            <v>1</v>
          </cell>
          <cell r="AN118">
            <v>-4.7047499999999998</v>
          </cell>
          <cell r="AO118">
            <v>44.859173453816176</v>
          </cell>
          <cell r="AP118">
            <v>50.236359999999998</v>
          </cell>
          <cell r="AQ118">
            <v>35.192041517227885</v>
          </cell>
          <cell r="AR118">
            <v>4.2620865009082536</v>
          </cell>
          <cell r="AS118">
            <v>3.0240985336700872</v>
          </cell>
          <cell r="AT118">
            <v>0</v>
          </cell>
          <cell r="AU118" t="str">
            <v/>
          </cell>
          <cell r="AV118">
            <v>0</v>
          </cell>
          <cell r="AW118" t="str">
            <v>Slight DAMMAGED formation S =3.0</v>
          </cell>
          <cell r="AY118">
            <v>50.236359999999998</v>
          </cell>
        </row>
        <row r="119">
          <cell r="C119" t="str">
            <v>Priobskoe LB!32</v>
          </cell>
          <cell r="E119" t="str">
            <v>32</v>
          </cell>
          <cell r="F119">
            <v>2642.6</v>
          </cell>
          <cell r="G119">
            <v>36665</v>
          </cell>
          <cell r="H119">
            <v>280.00491479999999</v>
          </cell>
          <cell r="I119">
            <v>117</v>
          </cell>
          <cell r="J119" t="str">
            <v/>
          </cell>
          <cell r="M119" t="str">
            <v/>
          </cell>
          <cell r="O119" t="str">
            <v/>
          </cell>
          <cell r="P119">
            <v>0</v>
          </cell>
          <cell r="Q119">
            <v>0.21549994435993208</v>
          </cell>
          <cell r="R119" t="str">
            <v/>
          </cell>
          <cell r="S119">
            <v>0.21549994435993208</v>
          </cell>
          <cell r="T119">
            <v>50.49</v>
          </cell>
          <cell r="U119" t="str">
            <v>Old</v>
          </cell>
          <cell r="X119">
            <v>25</v>
          </cell>
          <cell r="Y119">
            <v>0.57110000000000005</v>
          </cell>
          <cell r="Z119">
            <v>-4.4047122308893325</v>
          </cell>
          <cell r="AA119">
            <v>-3.70546</v>
          </cell>
          <cell r="AB119">
            <v>-4.9280225516463858</v>
          </cell>
          <cell r="AC119" t="str">
            <v>AS-12,99</v>
          </cell>
          <cell r="AE119">
            <v>49.4</v>
          </cell>
          <cell r="AF119" t="str">
            <v>16/30</v>
          </cell>
          <cell r="AG119">
            <v>29.7</v>
          </cell>
          <cell r="AH119">
            <v>61.5</v>
          </cell>
          <cell r="AI119">
            <v>420</v>
          </cell>
          <cell r="AJ119">
            <v>3667.020148462354</v>
          </cell>
          <cell r="AK119">
            <v>1</v>
          </cell>
          <cell r="AL119" t="str">
            <v>0.02000:-3.70546!50.49000</v>
          </cell>
          <cell r="AM119">
            <v>0.02</v>
          </cell>
          <cell r="AN119">
            <v>-3.70546</v>
          </cell>
          <cell r="AO119">
            <v>0.70148639855807826</v>
          </cell>
          <cell r="AP119">
            <v>50.49</v>
          </cell>
          <cell r="AQ119">
            <v>50.49</v>
          </cell>
          <cell r="AR119">
            <v>2.1000045681060335</v>
          </cell>
          <cell r="AS119" t="str">
            <v/>
          </cell>
          <cell r="AT119">
            <v>0</v>
          </cell>
          <cell r="AU119" t="str">
            <v/>
          </cell>
          <cell r="AV119">
            <v>1</v>
          </cell>
          <cell r="AW119" t="str">
            <v>PROBLEM FRAC possible? KH prefrac Estimate is at least 50% higher than for a perfect frac</v>
          </cell>
          <cell r="AY119">
            <v>50.49</v>
          </cell>
        </row>
        <row r="120">
          <cell r="C120" t="str">
            <v>Priobskoe LB!3711</v>
          </cell>
          <cell r="E120" t="str">
            <v>3711</v>
          </cell>
          <cell r="F120">
            <v>2656</v>
          </cell>
          <cell r="G120">
            <v>36692</v>
          </cell>
          <cell r="H120">
            <v>235.57571440000001</v>
          </cell>
          <cell r="I120">
            <v>117</v>
          </cell>
          <cell r="J120" t="str">
            <v/>
          </cell>
          <cell r="M120" t="str">
            <v/>
          </cell>
          <cell r="O120" t="str">
            <v/>
          </cell>
          <cell r="P120">
            <v>0</v>
          </cell>
          <cell r="Q120">
            <v>0.2368834801342094</v>
          </cell>
          <cell r="R120" t="str">
            <v/>
          </cell>
          <cell r="S120">
            <v>0.2368834801342094</v>
          </cell>
          <cell r="T120">
            <v>55.500000000000007</v>
          </cell>
          <cell r="U120" t="str">
            <v>Old</v>
          </cell>
          <cell r="X120">
            <v>54</v>
          </cell>
          <cell r="Y120">
            <v>0.23</v>
          </cell>
          <cell r="Z120">
            <v>0.21171328340961892</v>
          </cell>
          <cell r="AA120">
            <v>0</v>
          </cell>
          <cell r="AB120">
            <v>-4.9236096743248545</v>
          </cell>
          <cell r="AC120" t="str">
            <v>AS 12,100</v>
          </cell>
          <cell r="AE120">
            <v>39</v>
          </cell>
          <cell r="AF120" t="str">
            <v>16/30</v>
          </cell>
          <cell r="AG120">
            <v>37</v>
          </cell>
          <cell r="AH120">
            <v>64</v>
          </cell>
          <cell r="AI120">
            <v>420</v>
          </cell>
          <cell r="AJ120">
            <v>2781.929347826087</v>
          </cell>
          <cell r="AK120">
            <v>1</v>
          </cell>
          <cell r="AL120" t="str">
            <v>0.00000:0.00000!55.50000</v>
          </cell>
          <cell r="AM120">
            <v>0</v>
          </cell>
          <cell r="AN120">
            <v>0</v>
          </cell>
          <cell r="AO120">
            <v>0</v>
          </cell>
          <cell r="AP120">
            <v>55.5</v>
          </cell>
          <cell r="AQ120">
            <v>55.500000000000007</v>
          </cell>
          <cell r="AR120">
            <v>1.0000000000000002</v>
          </cell>
          <cell r="AS120" t="str">
            <v/>
          </cell>
          <cell r="AT120">
            <v>0</v>
          </cell>
          <cell r="AU120" t="str">
            <v/>
          </cell>
          <cell r="AV120">
            <v>1</v>
          </cell>
          <cell r="AW120" t="str">
            <v>PROBLEM FRAC possible? KH prefrac Estimate is at least 50% higher than for a perfect frac</v>
          </cell>
          <cell r="AY120">
            <v>55.500000000000007</v>
          </cell>
        </row>
        <row r="121">
          <cell r="C121" t="str">
            <v>Priobskoe LB!3720</v>
          </cell>
          <cell r="E121" t="str">
            <v>3720</v>
          </cell>
          <cell r="F121">
            <v>2473.25</v>
          </cell>
          <cell r="G121">
            <v>36525</v>
          </cell>
          <cell r="H121">
            <v>175.08592400000001</v>
          </cell>
          <cell r="I121">
            <v>117</v>
          </cell>
          <cell r="J121">
            <v>23.94</v>
          </cell>
          <cell r="K121">
            <v>26.6</v>
          </cell>
          <cell r="L121">
            <v>0</v>
          </cell>
          <cell r="M121">
            <v>100</v>
          </cell>
          <cell r="N121">
            <v>1509</v>
          </cell>
          <cell r="O121">
            <v>99.782499999999999</v>
          </cell>
          <cell r="P121">
            <v>0</v>
          </cell>
          <cell r="R121">
            <v>0.35860009194651127</v>
          </cell>
          <cell r="S121">
            <v>0.35860009194651127</v>
          </cell>
          <cell r="T121">
            <v>84.017277573579506</v>
          </cell>
          <cell r="U121" t="str">
            <v>Old</v>
          </cell>
          <cell r="X121">
            <v>101</v>
          </cell>
          <cell r="Y121">
            <v>1.1000000000000001</v>
          </cell>
          <cell r="Z121">
            <v>-4.7679064200136398</v>
          </cell>
          <cell r="AA121">
            <v>-4.7678200000000004</v>
          </cell>
          <cell r="AB121">
            <v>-5.1811597369006837</v>
          </cell>
          <cell r="AC121" t="str">
            <v>AC-11,100</v>
          </cell>
          <cell r="AE121">
            <v>32.799999999999997</v>
          </cell>
          <cell r="AF121" t="str">
            <v>16/30</v>
          </cell>
          <cell r="AG121">
            <v>9.9</v>
          </cell>
          <cell r="AH121">
            <v>93.5</v>
          </cell>
          <cell r="AI121">
            <v>420</v>
          </cell>
          <cell r="AJ121">
            <v>4044.1616819203414</v>
          </cell>
          <cell r="AK121">
            <v>1</v>
          </cell>
          <cell r="AL121" t="str">
            <v>0.32642:-4.76782!84.01728</v>
          </cell>
          <cell r="AM121">
            <v>0.32641999999999999</v>
          </cell>
          <cell r="AN121">
            <v>-4.7678200000000004</v>
          </cell>
          <cell r="AO121">
            <v>1.663643381864518</v>
          </cell>
          <cell r="AP121">
            <v>84.01728</v>
          </cell>
          <cell r="AQ121">
            <v>84.017277573579506</v>
          </cell>
          <cell r="AR121">
            <v>3.067368929825629</v>
          </cell>
          <cell r="AS121">
            <v>2.0429857716663946E-7</v>
          </cell>
          <cell r="AT121">
            <v>0</v>
          </cell>
          <cell r="AU121" t="str">
            <v/>
          </cell>
          <cell r="AV121">
            <v>0</v>
          </cell>
          <cell r="AW121" t="str">
            <v>Proppant Pack damage=33%</v>
          </cell>
          <cell r="AY121">
            <v>84.01728</v>
          </cell>
        </row>
        <row r="122">
          <cell r="C122" t="str">
            <v>Priobskoe LB!3727</v>
          </cell>
          <cell r="E122" t="str">
            <v>3727</v>
          </cell>
          <cell r="F122">
            <v>2494</v>
          </cell>
          <cell r="G122">
            <v>36818</v>
          </cell>
          <cell r="H122">
            <v>260</v>
          </cell>
          <cell r="I122">
            <v>117</v>
          </cell>
          <cell r="J122" t="str">
            <v/>
          </cell>
          <cell r="M122" t="str">
            <v/>
          </cell>
          <cell r="O122" t="str">
            <v/>
          </cell>
          <cell r="P122">
            <v>0</v>
          </cell>
          <cell r="Q122">
            <v>0.21340854066144987</v>
          </cell>
          <cell r="R122" t="str">
            <v/>
          </cell>
          <cell r="S122">
            <v>0.21340854066144987</v>
          </cell>
          <cell r="T122">
            <v>50</v>
          </cell>
          <cell r="U122" t="str">
            <v>Old</v>
          </cell>
          <cell r="X122">
            <v>27.8</v>
          </cell>
          <cell r="Y122">
            <v>0.59330000000000005</v>
          </cell>
          <cell r="Z122">
            <v>-4.5295291799970432</v>
          </cell>
          <cell r="AA122">
            <v>-4.8582200000000002</v>
          </cell>
          <cell r="AB122">
            <v>-4.7718363743395562</v>
          </cell>
          <cell r="AC122" t="str">
            <v>AS-11,100</v>
          </cell>
          <cell r="AE122">
            <v>24.67</v>
          </cell>
          <cell r="AF122" t="str">
            <v>16/30</v>
          </cell>
          <cell r="AG122">
            <v>10</v>
          </cell>
          <cell r="AH122">
            <v>55.1</v>
          </cell>
          <cell r="AI122">
            <v>420</v>
          </cell>
          <cell r="AJ122">
            <v>5109.9779057839505</v>
          </cell>
          <cell r="AK122">
            <v>1</v>
          </cell>
          <cell r="AL122" t="str">
            <v>1:-4.85822!36.41961</v>
          </cell>
          <cell r="AM122">
            <v>1</v>
          </cell>
          <cell r="AN122">
            <v>-4.8582200000000002</v>
          </cell>
          <cell r="AO122">
            <v>25.464322897848483</v>
          </cell>
          <cell r="AP122">
            <v>36.419609999999999</v>
          </cell>
          <cell r="AQ122">
            <v>50</v>
          </cell>
          <cell r="AR122">
            <v>2.3253991565689844</v>
          </cell>
          <cell r="AS122" t="str">
            <v/>
          </cell>
          <cell r="AT122">
            <v>0</v>
          </cell>
          <cell r="AU122" t="str">
            <v/>
          </cell>
          <cell r="AV122">
            <v>0</v>
          </cell>
          <cell r="AW122" t="str">
            <v>Prefrac  kh estimate acceptable</v>
          </cell>
          <cell r="AY122">
            <v>50</v>
          </cell>
        </row>
        <row r="123">
          <cell r="C123" t="str">
            <v>Priobskoe LB!3760</v>
          </cell>
          <cell r="E123" t="str">
            <v>3760</v>
          </cell>
          <cell r="F123">
            <v>2530.1</v>
          </cell>
          <cell r="G123">
            <v>36766</v>
          </cell>
          <cell r="H123">
            <v>248</v>
          </cell>
          <cell r="I123">
            <v>117</v>
          </cell>
          <cell r="J123" t="str">
            <v/>
          </cell>
          <cell r="M123" t="str">
            <v/>
          </cell>
          <cell r="O123" t="str">
            <v/>
          </cell>
          <cell r="P123">
            <v>0</v>
          </cell>
          <cell r="Q123">
            <v>0.18182407664355529</v>
          </cell>
          <cell r="R123" t="str">
            <v/>
          </cell>
          <cell r="S123">
            <v>0.18182407664355529</v>
          </cell>
          <cell r="T123">
            <v>42.6</v>
          </cell>
          <cell r="U123" t="str">
            <v>Old</v>
          </cell>
          <cell r="X123">
            <v>23.8</v>
          </cell>
          <cell r="Y123">
            <v>0.96</v>
          </cell>
          <cell r="Z123">
            <v>-5.7342211316292389</v>
          </cell>
          <cell r="AA123">
            <v>-5.1001599999999998</v>
          </cell>
          <cell r="AB123">
            <v>-5.0479855123281663</v>
          </cell>
          <cell r="AC123" t="str">
            <v>AS12-AS11,97/AS 10,100</v>
          </cell>
          <cell r="AE123">
            <v>40.08</v>
          </cell>
          <cell r="AF123" t="str">
            <v>16/30</v>
          </cell>
          <cell r="AG123">
            <v>14.2</v>
          </cell>
          <cell r="AH123">
            <v>72.599999999999994</v>
          </cell>
          <cell r="AI123">
            <v>420</v>
          </cell>
          <cell r="AJ123">
            <v>4437.1511136528115</v>
          </cell>
          <cell r="AK123">
            <v>2</v>
          </cell>
          <cell r="AL123" t="str">
            <v>1:-5.10016!48.47533</v>
          </cell>
          <cell r="AM123">
            <v>1</v>
          </cell>
          <cell r="AN123">
            <v>-5.1001599999999998</v>
          </cell>
          <cell r="AO123">
            <v>17.903385740158686</v>
          </cell>
          <cell r="AP123">
            <v>48.47533</v>
          </cell>
          <cell r="AQ123">
            <v>42.6</v>
          </cell>
          <cell r="AR123">
            <v>4.0780916916380763</v>
          </cell>
          <cell r="AS123">
            <v>0.97564213025737789</v>
          </cell>
          <cell r="AT123">
            <v>0</v>
          </cell>
          <cell r="AU123" t="str">
            <v/>
          </cell>
          <cell r="AV123">
            <v>0</v>
          </cell>
          <cell r="AW123" t="str">
            <v>Prefrac  kh estimate acceptable</v>
          </cell>
          <cell r="AY123">
            <v>48.47533</v>
          </cell>
        </row>
        <row r="124">
          <cell r="C124" t="str">
            <v>Priobskoe LB!3767</v>
          </cell>
          <cell r="E124" t="str">
            <v>3767</v>
          </cell>
          <cell r="F124">
            <v>2626.5</v>
          </cell>
          <cell r="G124">
            <v>36759</v>
          </cell>
          <cell r="H124">
            <v>250</v>
          </cell>
          <cell r="I124">
            <v>117</v>
          </cell>
          <cell r="J124" t="str">
            <v/>
          </cell>
          <cell r="M124" t="str">
            <v/>
          </cell>
          <cell r="O124" t="str">
            <v/>
          </cell>
          <cell r="P124">
            <v>0</v>
          </cell>
          <cell r="Q124">
            <v>0.15621505176418132</v>
          </cell>
          <cell r="R124" t="str">
            <v/>
          </cell>
          <cell r="S124">
            <v>0.15621505176418132</v>
          </cell>
          <cell r="T124">
            <v>36.6</v>
          </cell>
          <cell r="U124" t="str">
            <v>Old</v>
          </cell>
          <cell r="X124">
            <v>39.5</v>
          </cell>
          <cell r="Y124">
            <v>0.59689999999999999</v>
          </cell>
          <cell r="Z124">
            <v>-5.2226932486379702</v>
          </cell>
          <cell r="AA124">
            <v>-5.0538600000000002</v>
          </cell>
          <cell r="AB124">
            <v>-4.9894271476407983</v>
          </cell>
          <cell r="AC124" t="str">
            <v>AS-12,93</v>
          </cell>
          <cell r="AE124">
            <v>37.5</v>
          </cell>
          <cell r="AF124" t="str">
            <v>16/30</v>
          </cell>
          <cell r="AG124">
            <v>24.4</v>
          </cell>
          <cell r="AH124">
            <v>66.2</v>
          </cell>
          <cell r="AI124">
            <v>420</v>
          </cell>
          <cell r="AJ124">
            <v>2649.6281167028787</v>
          </cell>
          <cell r="AK124">
            <v>1</v>
          </cell>
          <cell r="AL124" t="str">
            <v>1:-5.05386!25.04429</v>
          </cell>
          <cell r="AM124">
            <v>1</v>
          </cell>
          <cell r="AN124">
            <v>-5.0538600000000002</v>
          </cell>
          <cell r="AO124">
            <v>38.994920253388003</v>
          </cell>
          <cell r="AP124">
            <v>25.04429</v>
          </cell>
          <cell r="AQ124">
            <v>36.6</v>
          </cell>
          <cell r="AR124">
            <v>2.3960956981562522</v>
          </cell>
          <cell r="AS124" t="str">
            <v/>
          </cell>
          <cell r="AT124">
            <v>0</v>
          </cell>
          <cell r="AU124" t="str">
            <v/>
          </cell>
          <cell r="AV124">
            <v>0</v>
          </cell>
          <cell r="AW124" t="str">
            <v>Prefrac  kh estimate acceptable</v>
          </cell>
          <cell r="AY124">
            <v>36.6</v>
          </cell>
        </row>
        <row r="125">
          <cell r="C125" t="str">
            <v>Priobskoe LB!520</v>
          </cell>
          <cell r="E125" t="str">
            <v>520</v>
          </cell>
          <cell r="F125">
            <v>2645.7</v>
          </cell>
          <cell r="G125">
            <v>36768</v>
          </cell>
          <cell r="H125">
            <v>245</v>
          </cell>
          <cell r="I125">
            <v>117</v>
          </cell>
          <cell r="J125">
            <v>27.720000000000002</v>
          </cell>
          <cell r="K125">
            <v>30.8</v>
          </cell>
          <cell r="L125">
            <v>0</v>
          </cell>
          <cell r="M125">
            <v>100</v>
          </cell>
          <cell r="N125">
            <v>1070</v>
          </cell>
          <cell r="O125">
            <v>154.81299999999999</v>
          </cell>
          <cell r="P125">
            <v>0</v>
          </cell>
          <cell r="R125">
            <v>0.3415126348586825</v>
          </cell>
          <cell r="S125">
            <v>0.3415126348586825</v>
          </cell>
          <cell r="T125">
            <v>80.013816176283271</v>
          </cell>
          <cell r="U125" t="str">
            <v>Old</v>
          </cell>
          <cell r="X125">
            <v>37.5</v>
          </cell>
          <cell r="Y125">
            <v>0.87639999999999996</v>
          </cell>
          <cell r="Z125">
            <v>-4.3174553076624482</v>
          </cell>
          <cell r="AA125">
            <v>-4.1222099999999999</v>
          </cell>
          <cell r="AB125">
            <v>-4.952731777365126</v>
          </cell>
          <cell r="AC125" t="str">
            <v>AS-11-12,100/AS10,97</v>
          </cell>
          <cell r="AE125">
            <v>32.840000000000003</v>
          </cell>
          <cell r="AF125" t="str">
            <v>16/30</v>
          </cell>
          <cell r="AG125">
            <v>20.8</v>
          </cell>
          <cell r="AH125">
            <v>72.2</v>
          </cell>
          <cell r="AI125">
            <v>420</v>
          </cell>
          <cell r="AJ125">
            <v>2495.7672852259143</v>
          </cell>
          <cell r="AK125">
            <v>2</v>
          </cell>
          <cell r="AL125" t="str">
            <v>0.09412:-4.12221!80.01382</v>
          </cell>
          <cell r="AM125">
            <v>9.4119999999999995E-2</v>
          </cell>
          <cell r="AN125">
            <v>-4.1222099999999999</v>
          </cell>
          <cell r="AO125">
            <v>0.84575999454848172</v>
          </cell>
          <cell r="AP125">
            <v>80.013819999999996</v>
          </cell>
          <cell r="AQ125">
            <v>80.013816176283271</v>
          </cell>
          <cell r="AR125">
            <v>2.3964901792780138</v>
          </cell>
          <cell r="AS125">
            <v>3.3805596721947495E-7</v>
          </cell>
          <cell r="AT125">
            <v>0</v>
          </cell>
          <cell r="AU125" t="str">
            <v/>
          </cell>
          <cell r="AV125">
            <v>0</v>
          </cell>
          <cell r="AW125" t="str">
            <v>Proppant Pack damage=9%</v>
          </cell>
          <cell r="AY125">
            <v>80.013819999999996</v>
          </cell>
        </row>
        <row r="126">
          <cell r="C126" t="str">
            <v>Priobskoe LB!64</v>
          </cell>
          <cell r="E126" t="str">
            <v>64</v>
          </cell>
          <cell r="F126">
            <v>2487.15</v>
          </cell>
          <cell r="G126">
            <v>36837</v>
          </cell>
          <cell r="H126">
            <v>235</v>
          </cell>
          <cell r="I126">
            <v>117</v>
          </cell>
          <cell r="J126" t="str">
            <v/>
          </cell>
          <cell r="M126" t="str">
            <v/>
          </cell>
          <cell r="O126" t="str">
            <v/>
          </cell>
          <cell r="P126">
            <v>0</v>
          </cell>
          <cell r="Q126">
            <v>0.26744358315692901</v>
          </cell>
          <cell r="R126" t="str">
            <v/>
          </cell>
          <cell r="S126">
            <v>0.26744358315692901</v>
          </cell>
          <cell r="T126">
            <v>62.66</v>
          </cell>
          <cell r="U126" t="str">
            <v>Old</v>
          </cell>
          <cell r="X126">
            <v>45.5</v>
          </cell>
          <cell r="Y126">
            <v>0.4587</v>
          </cell>
          <cell r="Z126">
            <v>-2.9495458744700125</v>
          </cell>
          <cell r="AA126">
            <v>-2.6323300000000001</v>
          </cell>
          <cell r="AB126">
            <v>-4.8401127115682776</v>
          </cell>
          <cell r="AC126" t="str">
            <v>AS-10,100</v>
          </cell>
          <cell r="AE126">
            <v>39.738999999999997</v>
          </cell>
          <cell r="AF126" t="str">
            <v>16/30</v>
          </cell>
          <cell r="AG126">
            <v>48.2</v>
          </cell>
          <cell r="AH126">
            <v>58.1</v>
          </cell>
          <cell r="AI126">
            <v>420</v>
          </cell>
          <cell r="AJ126">
            <v>3122.4986904138286</v>
          </cell>
          <cell r="AK126">
            <v>1</v>
          </cell>
          <cell r="AL126" t="str">
            <v>0.00856:-2.63233!62.66000</v>
          </cell>
          <cell r="AM126">
            <v>8.5599999999999999E-3</v>
          </cell>
          <cell r="AN126">
            <v>-2.6323300000000001</v>
          </cell>
          <cell r="AO126">
            <v>0.35388042883546106</v>
          </cell>
          <cell r="AP126">
            <v>62.66</v>
          </cell>
          <cell r="AQ126">
            <v>62.66</v>
          </cell>
          <cell r="AR126">
            <v>1.5926380690629813</v>
          </cell>
          <cell r="AS126" t="str">
            <v/>
          </cell>
          <cell r="AT126">
            <v>0</v>
          </cell>
          <cell r="AU126" t="str">
            <v/>
          </cell>
          <cell r="AV126">
            <v>1</v>
          </cell>
          <cell r="AW126" t="str">
            <v>PROBLEM FRAC possible? KH prefrac Estimate is at least 50% higher than for a perfect frac</v>
          </cell>
          <cell r="AY126">
            <v>62.66</v>
          </cell>
        </row>
        <row r="127">
          <cell r="C127" t="str">
            <v>Priobskoe LB!88</v>
          </cell>
          <cell r="E127" t="str">
            <v>88</v>
          </cell>
          <cell r="F127">
            <v>2429.4</v>
          </cell>
          <cell r="G127">
            <v>36554</v>
          </cell>
          <cell r="H127">
            <v>237.645746</v>
          </cell>
          <cell r="I127">
            <v>117</v>
          </cell>
          <cell r="J127">
            <v>30.105270000000004</v>
          </cell>
          <cell r="K127">
            <v>35.1</v>
          </cell>
          <cell r="L127">
            <v>4.7</v>
          </cell>
          <cell r="M127">
            <v>95.3</v>
          </cell>
          <cell r="N127">
            <v>740</v>
          </cell>
          <cell r="O127">
            <v>165.04599999999999</v>
          </cell>
          <cell r="P127">
            <v>0</v>
          </cell>
          <cell r="R127">
            <v>0.48347276586890531</v>
          </cell>
          <cell r="S127">
            <v>0.48347276586890531</v>
          </cell>
          <cell r="T127">
            <v>113.27399652572571</v>
          </cell>
          <cell r="U127" t="str">
            <v>Old</v>
          </cell>
          <cell r="X127">
            <v>72</v>
          </cell>
          <cell r="Y127">
            <v>1.8661000000000001</v>
          </cell>
          <cell r="Z127">
            <v>-5.2412886073127583</v>
          </cell>
          <cell r="AA127">
            <v>-4.4264999999999999</v>
          </cell>
          <cell r="AB127">
            <v>-4.4194082050071186</v>
          </cell>
          <cell r="AC127" t="str">
            <v>AC-10,96</v>
          </cell>
          <cell r="AE127">
            <v>38.200000000000003</v>
          </cell>
          <cell r="AF127" t="str">
            <v>16/30</v>
          </cell>
          <cell r="AG127">
            <v>40.5</v>
          </cell>
          <cell r="AH127">
            <v>35.9</v>
          </cell>
          <cell r="AI127">
            <v>420</v>
          </cell>
          <cell r="AJ127">
            <v>4857.6964999394459</v>
          </cell>
          <cell r="AK127">
            <v>1</v>
          </cell>
          <cell r="AL127" t="str">
            <v>1:-4.42650!163.63233</v>
          </cell>
          <cell r="AM127">
            <v>1</v>
          </cell>
          <cell r="AN127">
            <v>-4.4264999999999999</v>
          </cell>
          <cell r="AO127">
            <v>33.490515895952576</v>
          </cell>
          <cell r="AP127">
            <v>163.63233</v>
          </cell>
          <cell r="AQ127">
            <v>113.27399652572571</v>
          </cell>
          <cell r="AR127">
            <v>3.8597862514454495</v>
          </cell>
          <cell r="AS127">
            <v>3.1449156819160686</v>
          </cell>
          <cell r="AT127">
            <v>0</v>
          </cell>
          <cell r="AU127" t="str">
            <v/>
          </cell>
          <cell r="AV127">
            <v>0</v>
          </cell>
          <cell r="AW127" t="str">
            <v>Slight DAMMAGED formation S =3.1</v>
          </cell>
          <cell r="AY127">
            <v>163.63233</v>
          </cell>
        </row>
        <row r="128">
          <cell r="C128" t="str">
            <v>Priobskoe RB!7712</v>
          </cell>
          <cell r="E128" t="str">
            <v>7712</v>
          </cell>
          <cell r="F128">
            <v>2616.6</v>
          </cell>
          <cell r="G128">
            <v>36811</v>
          </cell>
          <cell r="H128">
            <v>250</v>
          </cell>
          <cell r="I128">
            <v>121.34668000000001</v>
          </cell>
          <cell r="J128" t="str">
            <v/>
          </cell>
          <cell r="M128" t="str">
            <v/>
          </cell>
          <cell r="O128" t="str">
            <v/>
          </cell>
          <cell r="P128">
            <v>0</v>
          </cell>
          <cell r="Q128">
            <v>0.17055610569663074</v>
          </cell>
          <cell r="R128" t="str">
            <v/>
          </cell>
          <cell r="S128">
            <v>0.17055610569663074</v>
          </cell>
          <cell r="T128">
            <v>39.959999999999987</v>
          </cell>
          <cell r="U128" t="str">
            <v>Old</v>
          </cell>
          <cell r="X128">
            <v>26.4</v>
          </cell>
          <cell r="Y128">
            <v>1.2</v>
          </cell>
          <cell r="Z128">
            <v>-6.0686112282475966</v>
          </cell>
          <cell r="AA128">
            <v>-5.1794200000000004</v>
          </cell>
          <cell r="AB128">
            <v>-5.1629183971266714</v>
          </cell>
          <cell r="AC128" t="str">
            <v>AS-12,96/AS-11,100/AS-10,100</v>
          </cell>
          <cell r="AE128">
            <v>35.200000000000003</v>
          </cell>
          <cell r="AF128" t="str">
            <v>16/30</v>
          </cell>
          <cell r="AG128">
            <v>11.1</v>
          </cell>
          <cell r="AH128">
            <v>88.3</v>
          </cell>
          <cell r="AI128">
            <v>420</v>
          </cell>
          <cell r="AJ128">
            <v>4098.8351589562881</v>
          </cell>
          <cell r="AK128">
            <v>3</v>
          </cell>
          <cell r="AL128" t="str">
            <v>1:-5.17942!70.65733</v>
          </cell>
          <cell r="AM128">
            <v>1</v>
          </cell>
          <cell r="AN128">
            <v>-5.1794200000000004</v>
          </cell>
          <cell r="AO128">
            <v>7.2923164360091128</v>
          </cell>
          <cell r="AP128">
            <v>70.657330000000002</v>
          </cell>
          <cell r="AQ128">
            <v>39.959999999999987</v>
          </cell>
          <cell r="AR128">
            <v>6.6020092368399403</v>
          </cell>
          <cell r="AS128">
            <v>5.4342924131741563</v>
          </cell>
          <cell r="AT128">
            <v>0</v>
          </cell>
          <cell r="AU128" t="str">
            <v/>
          </cell>
          <cell r="AV128">
            <v>0</v>
          </cell>
          <cell r="AW128" t="str">
            <v>Prefrac kh estimate too low by 177%</v>
          </cell>
          <cell r="AY128">
            <v>70.657330000000002</v>
          </cell>
        </row>
        <row r="129">
          <cell r="C129" t="str">
            <v>Priobskoe RB!7713</v>
          </cell>
          <cell r="E129" t="str">
            <v>7713</v>
          </cell>
          <cell r="F129">
            <v>2454</v>
          </cell>
          <cell r="G129">
            <v>36880</v>
          </cell>
          <cell r="H129">
            <v>248</v>
          </cell>
          <cell r="I129">
            <v>121.34668000000001</v>
          </cell>
          <cell r="J129" t="str">
            <v/>
          </cell>
          <cell r="M129" t="str">
            <v/>
          </cell>
          <cell r="O129" t="str">
            <v/>
          </cell>
          <cell r="P129">
            <v>0</v>
          </cell>
          <cell r="Q129">
            <v>4.5242610620227379E-2</v>
          </cell>
          <cell r="R129" t="str">
            <v/>
          </cell>
          <cell r="S129">
            <v>4.5242610620227379E-2</v>
          </cell>
          <cell r="T129">
            <v>10.600000000000001</v>
          </cell>
          <cell r="U129" t="str">
            <v>Old</v>
          </cell>
          <cell r="W129" t="str">
            <v>1 data point</v>
          </cell>
          <cell r="X129">
            <v>6</v>
          </cell>
          <cell r="Y129">
            <v>4.0861999999999998</v>
          </cell>
          <cell r="Z129">
            <v>-6.9957218198772049</v>
          </cell>
          <cell r="AA129">
            <v>-4.65794</v>
          </cell>
          <cell r="AB129">
            <v>-4.814389146198546</v>
          </cell>
          <cell r="AC129" t="str">
            <v>AC-12,100/AC-11,99/AC-10,100</v>
          </cell>
          <cell r="AE129">
            <v>39.423999999999999</v>
          </cell>
          <cell r="AF129" t="str">
            <v>16/20C</v>
          </cell>
          <cell r="AG129">
            <v>10.6</v>
          </cell>
          <cell r="AH129">
            <v>50.2</v>
          </cell>
          <cell r="AI129">
            <v>600</v>
          </cell>
          <cell r="AJ129">
            <v>12079.655128460727</v>
          </cell>
          <cell r="AK129">
            <v>3</v>
          </cell>
          <cell r="AL129" t="str">
            <v>1:-4.65794!314.03909</v>
          </cell>
          <cell r="AM129">
            <v>1</v>
          </cell>
          <cell r="AN129">
            <v>-4.65794</v>
          </cell>
          <cell r="AO129">
            <v>8.122186797290583</v>
          </cell>
          <cell r="AP129">
            <v>314.03908999999999</v>
          </cell>
          <cell r="AQ129">
            <v>10.600000000000001</v>
          </cell>
          <cell r="AR129">
            <v>86.742061512289709</v>
          </cell>
          <cell r="AS129">
            <v>202.50397020305314</v>
          </cell>
          <cell r="AT129">
            <v>0</v>
          </cell>
          <cell r="AU129" t="str">
            <v/>
          </cell>
          <cell r="AV129">
            <v>0</v>
          </cell>
          <cell r="AW129" t="str">
            <v>Prefrac kh estimate too low by 2963%</v>
          </cell>
          <cell r="AY129">
            <v>314.03908999999999</v>
          </cell>
        </row>
        <row r="130">
          <cell r="C130" t="str">
            <v>Priobskoe RB!7723</v>
          </cell>
          <cell r="E130" t="str">
            <v>7723</v>
          </cell>
          <cell r="F130">
            <v>2637.6</v>
          </cell>
          <cell r="G130">
            <v>36765</v>
          </cell>
          <cell r="H130">
            <v>256</v>
          </cell>
          <cell r="I130">
            <v>121.34668000000001</v>
          </cell>
          <cell r="J130" t="str">
            <v/>
          </cell>
          <cell r="M130" t="str">
            <v/>
          </cell>
          <cell r="O130" t="str">
            <v/>
          </cell>
          <cell r="P130">
            <v>0</v>
          </cell>
          <cell r="Q130">
            <v>0.16389775922799354</v>
          </cell>
          <cell r="R130" t="str">
            <v/>
          </cell>
          <cell r="S130">
            <v>0.16389775922799354</v>
          </cell>
          <cell r="T130">
            <v>38.400000000000006</v>
          </cell>
          <cell r="U130" t="str">
            <v>Old</v>
          </cell>
          <cell r="X130">
            <v>37</v>
          </cell>
          <cell r="Y130">
            <v>1.0861000000000001</v>
          </cell>
          <cell r="Z130">
            <v>-6.0065381479936892</v>
          </cell>
          <cell r="AA130">
            <v>-5.0025300000000001</v>
          </cell>
          <cell r="AB130">
            <v>-5.0720138217266406</v>
          </cell>
          <cell r="AC130" t="str">
            <v>AS-12,88/AS-11,100</v>
          </cell>
          <cell r="AE130">
            <v>26.65</v>
          </cell>
          <cell r="AF130" t="str">
            <v>16/20</v>
          </cell>
          <cell r="AG130">
            <v>12.8</v>
          </cell>
          <cell r="AH130">
            <v>72.2</v>
          </cell>
          <cell r="AI130">
            <v>420</v>
          </cell>
          <cell r="AJ130">
            <v>3291.1791107129948</v>
          </cell>
          <cell r="AK130">
            <v>2</v>
          </cell>
          <cell r="AL130" t="str">
            <v>1:-5.00253!74.40597</v>
          </cell>
          <cell r="AM130">
            <v>1</v>
          </cell>
          <cell r="AN130">
            <v>-5.0025300000000001</v>
          </cell>
          <cell r="AO130">
            <v>7.8418134603891616</v>
          </cell>
          <cell r="AP130">
            <v>74.405969999999996</v>
          </cell>
          <cell r="AQ130">
            <v>38.400000000000006</v>
          </cell>
          <cell r="AR130">
            <v>6.6169239664523731</v>
          </cell>
          <cell r="AS130">
            <v>6.6330179282685213</v>
          </cell>
          <cell r="AT130">
            <v>0</v>
          </cell>
          <cell r="AU130" t="str">
            <v/>
          </cell>
          <cell r="AV130">
            <v>0</v>
          </cell>
          <cell r="AW130" t="str">
            <v>Prefrac kh estimate too low by 194%</v>
          </cell>
          <cell r="AY130">
            <v>74.405969999999996</v>
          </cell>
        </row>
        <row r="131">
          <cell r="C131" t="str">
            <v>Priobskoe RB!7748</v>
          </cell>
          <cell r="E131" t="str">
            <v>7748</v>
          </cell>
          <cell r="F131">
            <v>2464.15</v>
          </cell>
          <cell r="G131">
            <v>36706</v>
          </cell>
          <cell r="H131">
            <v>265.7594264</v>
          </cell>
          <cell r="I131">
            <v>121.34668000000001</v>
          </cell>
          <cell r="J131" t="str">
            <v/>
          </cell>
          <cell r="M131" t="str">
            <v/>
          </cell>
          <cell r="O131" t="str">
            <v/>
          </cell>
          <cell r="P131">
            <v>0</v>
          </cell>
          <cell r="Q131">
            <v>0.43023161797348297</v>
          </cell>
          <cell r="R131" t="str">
            <v/>
          </cell>
          <cell r="S131">
            <v>0.43023161797348297</v>
          </cell>
          <cell r="T131">
            <v>100.79999999999998</v>
          </cell>
          <cell r="U131" t="str">
            <v>Old</v>
          </cell>
          <cell r="X131">
            <v>43.5</v>
          </cell>
          <cell r="Y131">
            <v>0.74539999999999995</v>
          </cell>
          <cell r="Z131">
            <v>-2.9910325135802456</v>
          </cell>
          <cell r="AA131">
            <v>-2.9911799999999999</v>
          </cell>
          <cell r="AB131">
            <v>-4.8118451863602534</v>
          </cell>
          <cell r="AC131" t="str">
            <v>AS-11,100</v>
          </cell>
          <cell r="AE131">
            <v>37.124000000000002</v>
          </cell>
          <cell r="AF131" t="str">
            <v>16/30</v>
          </cell>
          <cell r="AG131">
            <v>14.4</v>
          </cell>
          <cell r="AH131">
            <v>64</v>
          </cell>
          <cell r="AI131">
            <v>420</v>
          </cell>
          <cell r="AJ131">
            <v>4597.4156476449289</v>
          </cell>
          <cell r="AK131">
            <v>1</v>
          </cell>
          <cell r="AL131" t="str">
            <v>0.02364:-2.99118!100.80000</v>
          </cell>
          <cell r="AM131">
            <v>2.3640000000000001E-2</v>
          </cell>
          <cell r="AN131">
            <v>-2.9911799999999999</v>
          </cell>
          <cell r="AO131">
            <v>0.24259577212126368</v>
          </cell>
          <cell r="AP131">
            <v>100.8</v>
          </cell>
          <cell r="AQ131">
            <v>100.79999999999998</v>
          </cell>
          <cell r="AR131">
            <v>1.7326177229540443</v>
          </cell>
          <cell r="AS131" t="str">
            <v/>
          </cell>
          <cell r="AT131">
            <v>0</v>
          </cell>
          <cell r="AU131" t="str">
            <v/>
          </cell>
          <cell r="AV131">
            <v>1</v>
          </cell>
          <cell r="AW131" t="str">
            <v>PROBLEM FRAC possible? KH prefrac Estimate is at least 50% higher than for a perfect frac</v>
          </cell>
          <cell r="AY131">
            <v>100.8</v>
          </cell>
        </row>
        <row r="132">
          <cell r="C132" t="str">
            <v>Priobskoe RB!7750</v>
          </cell>
          <cell r="E132" t="str">
            <v>7750</v>
          </cell>
          <cell r="F132">
            <v>2478</v>
          </cell>
          <cell r="G132">
            <v>36786</v>
          </cell>
          <cell r="H132">
            <v>240</v>
          </cell>
          <cell r="I132">
            <v>121.34668000000001</v>
          </cell>
          <cell r="J132" t="str">
            <v/>
          </cell>
          <cell r="M132" t="str">
            <v/>
          </cell>
          <cell r="O132" t="str">
            <v/>
          </cell>
          <cell r="P132">
            <v>0</v>
          </cell>
          <cell r="Q132">
            <v>0.27077275639124759</v>
          </cell>
          <cell r="R132" t="str">
            <v/>
          </cell>
          <cell r="S132">
            <v>0.27077275639124759</v>
          </cell>
          <cell r="T132">
            <v>63.439999999999991</v>
          </cell>
          <cell r="U132" t="str">
            <v>Old</v>
          </cell>
          <cell r="X132">
            <v>30</v>
          </cell>
          <cell r="Y132">
            <v>0.43059999999999998</v>
          </cell>
          <cell r="Z132">
            <v>-2.6256973410976583</v>
          </cell>
          <cell r="AA132">
            <v>-2.5427599999999999</v>
          </cell>
          <cell r="AB132">
            <v>-5.1052144837350619</v>
          </cell>
          <cell r="AC132" t="str">
            <v>AC-11,100/AS-12,100/AS-10,100</v>
          </cell>
          <cell r="AE132">
            <v>26.957999999999998</v>
          </cell>
          <cell r="AF132" t="str">
            <v>16/20</v>
          </cell>
          <cell r="AG132">
            <v>10.4</v>
          </cell>
          <cell r="AH132">
            <v>84.2</v>
          </cell>
          <cell r="AI132">
            <v>420</v>
          </cell>
          <cell r="AJ132">
            <v>3513.5303545468255</v>
          </cell>
          <cell r="AK132">
            <v>3</v>
          </cell>
          <cell r="AL132" t="str">
            <v>0.01654:-2.54276!63.44000</v>
          </cell>
          <cell r="AM132">
            <v>1.6539999999999999E-2</v>
          </cell>
          <cell r="AN132">
            <v>-2.5427599999999999</v>
          </cell>
          <cell r="AO132">
            <v>0.11314550068962363</v>
          </cell>
          <cell r="AP132">
            <v>63.44</v>
          </cell>
          <cell r="AQ132">
            <v>63.439999999999991</v>
          </cell>
          <cell r="AR132">
            <v>1.5611563679511562</v>
          </cell>
          <cell r="AS132" t="str">
            <v/>
          </cell>
          <cell r="AT132">
            <v>0</v>
          </cell>
          <cell r="AU132" t="str">
            <v/>
          </cell>
          <cell r="AV132">
            <v>1</v>
          </cell>
          <cell r="AW132" t="str">
            <v>PROBLEM FRAC possible? KH prefrac Estimate is at least 50% higher than for a perfect frac</v>
          </cell>
          <cell r="AY132">
            <v>63.44</v>
          </cell>
        </row>
        <row r="133">
          <cell r="C133" t="str">
            <v>Priobskoe RB!7751</v>
          </cell>
          <cell r="E133" t="str">
            <v>7751</v>
          </cell>
          <cell r="F133">
            <v>2634.25</v>
          </cell>
          <cell r="G133">
            <v>36752</v>
          </cell>
          <cell r="H133">
            <v>267.60511960000002</v>
          </cell>
          <cell r="I133">
            <v>121.34668000000001</v>
          </cell>
          <cell r="J133" t="str">
            <v/>
          </cell>
          <cell r="M133" t="str">
            <v/>
          </cell>
          <cell r="O133" t="str">
            <v/>
          </cell>
          <cell r="P133">
            <v>0</v>
          </cell>
          <cell r="Q133">
            <v>0.6841877813606082</v>
          </cell>
          <cell r="R133" t="str">
            <v/>
          </cell>
          <cell r="S133">
            <v>0.6841877813606082</v>
          </cell>
          <cell r="T133">
            <v>160.29999999999995</v>
          </cell>
          <cell r="U133" t="str">
            <v>Old</v>
          </cell>
          <cell r="X133">
            <v>43</v>
          </cell>
          <cell r="Y133">
            <v>0.93769999999999998</v>
          </cell>
          <cell r="Z133">
            <v>-1.9125062375699242</v>
          </cell>
          <cell r="AA133">
            <v>-1.91242</v>
          </cell>
          <cell r="AB133">
            <v>-4.7429377244726041</v>
          </cell>
          <cell r="AC133" t="str">
            <v>AC-12,100/AS-11,96</v>
          </cell>
          <cell r="AE133">
            <v>41</v>
          </cell>
          <cell r="AF133" t="str">
            <v>16/30</v>
          </cell>
          <cell r="AG133">
            <v>22.9</v>
          </cell>
          <cell r="AH133">
            <v>69.3</v>
          </cell>
          <cell r="AI133">
            <v>420</v>
          </cell>
          <cell r="AJ133">
            <v>2948.6050940389273</v>
          </cell>
          <cell r="AK133">
            <v>2</v>
          </cell>
          <cell r="AL133" t="str">
            <v>0.01216:-1.91242!160.30000</v>
          </cell>
          <cell r="AM133">
            <v>1.2160000000000001E-2</v>
          </cell>
          <cell r="AN133">
            <v>-1.91242</v>
          </cell>
          <cell r="AO133">
            <v>7.3912673559087524E-2</v>
          </cell>
          <cell r="AP133">
            <v>160.30000000000001</v>
          </cell>
          <cell r="AQ133">
            <v>160.29999999999995</v>
          </cell>
          <cell r="AR133">
            <v>1.3705072773536215</v>
          </cell>
          <cell r="AS133" t="str">
            <v/>
          </cell>
          <cell r="AT133">
            <v>0</v>
          </cell>
          <cell r="AU133" t="str">
            <v/>
          </cell>
          <cell r="AV133">
            <v>1</v>
          </cell>
          <cell r="AW133" t="str">
            <v>PROBLEM FRAC possible? KH prefrac Estimate is at least 50% higher than for a perfect frac</v>
          </cell>
          <cell r="AY133">
            <v>160.30000000000001</v>
          </cell>
        </row>
        <row r="134">
          <cell r="C134" t="str">
            <v>Priobskoe RB!7754</v>
          </cell>
          <cell r="E134" t="str">
            <v>7754</v>
          </cell>
          <cell r="F134">
            <v>2470.3000000000002</v>
          </cell>
          <cell r="G134">
            <v>36717</v>
          </cell>
          <cell r="H134">
            <v>253.14549</v>
          </cell>
          <cell r="I134">
            <v>121.34668000000001</v>
          </cell>
          <cell r="J134" t="str">
            <v/>
          </cell>
          <cell r="M134" t="str">
            <v/>
          </cell>
          <cell r="O134" t="str">
            <v/>
          </cell>
          <cell r="P134">
            <v>0</v>
          </cell>
          <cell r="Q134">
            <v>0.29604032760556326</v>
          </cell>
          <cell r="R134" t="str">
            <v/>
          </cell>
          <cell r="S134">
            <v>0.29604032760556326</v>
          </cell>
          <cell r="T134">
            <v>69.359999999999985</v>
          </cell>
          <cell r="U134" t="str">
            <v>New</v>
          </cell>
          <cell r="X134">
            <v>37.75</v>
          </cell>
          <cell r="Y134">
            <v>0.62270000000000003</v>
          </cell>
          <cell r="Z134">
            <v>-3.7109451620515319</v>
          </cell>
          <cell r="AA134">
            <v>-3.7110300000000001</v>
          </cell>
          <cell r="AB134">
            <v>-5.1492012725579661</v>
          </cell>
          <cell r="AC134" t="str">
            <v>AS-11,100/AC-10,100</v>
          </cell>
          <cell r="AE134">
            <v>31.4</v>
          </cell>
          <cell r="AF134" t="str">
            <v>16/20</v>
          </cell>
          <cell r="AG134">
            <v>10.199999999999999</v>
          </cell>
          <cell r="AH134">
            <v>89.3</v>
          </cell>
          <cell r="AI134">
            <v>420</v>
          </cell>
          <cell r="AJ134">
            <v>3934.4088577541147</v>
          </cell>
          <cell r="AK134">
            <v>2</v>
          </cell>
          <cell r="AL134" t="str">
            <v>0.05881:-3.71103!69.36000</v>
          </cell>
          <cell r="AM134">
            <v>5.8810000000000001E-2</v>
          </cell>
          <cell r="AN134">
            <v>-3.7110300000000001</v>
          </cell>
          <cell r="AO134">
            <v>0.38103976174909343</v>
          </cell>
          <cell r="AP134">
            <v>69.36</v>
          </cell>
          <cell r="AQ134">
            <v>69.359999999999985</v>
          </cell>
          <cell r="AR134">
            <v>2.1034827036268244</v>
          </cell>
          <cell r="AS134" t="str">
            <v/>
          </cell>
          <cell r="AT134">
            <v>0</v>
          </cell>
          <cell r="AU134" t="str">
            <v/>
          </cell>
          <cell r="AV134">
            <v>1</v>
          </cell>
          <cell r="AW134" t="str">
            <v>PROBLEM FRAC possible? KH prefrac Estimate is at least 50% higher than for a perfect frac</v>
          </cell>
          <cell r="AY134">
            <v>69.36</v>
          </cell>
        </row>
        <row r="135">
          <cell r="C135" t="str">
            <v>Priobskoe RB!7757</v>
          </cell>
          <cell r="E135" t="str">
            <v>7757</v>
          </cell>
          <cell r="F135">
            <v>2624.3</v>
          </cell>
          <cell r="G135">
            <v>36735</v>
          </cell>
          <cell r="H135">
            <v>273.80501720000001</v>
          </cell>
          <cell r="I135">
            <v>121.34668000000001</v>
          </cell>
          <cell r="J135" t="str">
            <v/>
          </cell>
          <cell r="M135" t="str">
            <v/>
          </cell>
          <cell r="O135" t="str">
            <v/>
          </cell>
          <cell r="P135">
            <v>0</v>
          </cell>
          <cell r="Q135">
            <v>7.7783144900285262E-2</v>
          </cell>
          <cell r="R135" t="str">
            <v/>
          </cell>
          <cell r="S135">
            <v>7.7783144900285262E-2</v>
          </cell>
          <cell r="T135">
            <v>18.224000000000004</v>
          </cell>
          <cell r="U135" t="str">
            <v>Old</v>
          </cell>
          <cell r="X135">
            <v>18</v>
          </cell>
          <cell r="Y135">
            <v>0.2999</v>
          </cell>
          <cell r="Z135">
            <v>-5.2392959411873354</v>
          </cell>
          <cell r="AA135">
            <v>-4.2486800000000002</v>
          </cell>
          <cell r="AB135">
            <v>-5.0783377877961637</v>
          </cell>
          <cell r="AC135" t="str">
            <v>AC-12,95/AS-11,98/AS-10,100</v>
          </cell>
          <cell r="AE135">
            <v>40.299999999999997</v>
          </cell>
          <cell r="AF135" t="str">
            <v>16/30</v>
          </cell>
          <cell r="AG135">
            <v>13.4</v>
          </cell>
          <cell r="AH135">
            <v>69</v>
          </cell>
          <cell r="AI135">
            <v>420</v>
          </cell>
          <cell r="AJ135">
            <v>4974.5365798606208</v>
          </cell>
          <cell r="AK135">
            <v>3</v>
          </cell>
          <cell r="AL135" t="str">
            <v>0.02071:-4.24868!18.22400</v>
          </cell>
          <cell r="AM135">
            <v>2.0709999999999999E-2</v>
          </cell>
          <cell r="AN135">
            <v>-4.2486800000000002</v>
          </cell>
          <cell r="AO135">
            <v>1.0978543538886771</v>
          </cell>
          <cell r="AP135">
            <v>18.224</v>
          </cell>
          <cell r="AQ135">
            <v>18.224000000000004</v>
          </cell>
          <cell r="AR135">
            <v>2.5037626925767196</v>
          </cell>
          <cell r="AS135" t="str">
            <v/>
          </cell>
          <cell r="AT135">
            <v>0</v>
          </cell>
          <cell r="AU135" t="str">
            <v/>
          </cell>
          <cell r="AV135">
            <v>1</v>
          </cell>
          <cell r="AW135" t="str">
            <v>PROBLEM FRAC possible? KH prefrac Estimate is at least 50% higher than for a perfect frac</v>
          </cell>
          <cell r="AY135">
            <v>18.224000000000004</v>
          </cell>
        </row>
        <row r="136">
          <cell r="C136" t="str">
            <v>Priobskoe RB!7758</v>
          </cell>
          <cell r="E136" t="str">
            <v>7758</v>
          </cell>
          <cell r="F136">
            <v>2456.9</v>
          </cell>
          <cell r="G136">
            <v>36798</v>
          </cell>
          <cell r="H136">
            <v>248</v>
          </cell>
          <cell r="I136">
            <v>121.34668000000001</v>
          </cell>
          <cell r="J136" t="str">
            <v/>
          </cell>
          <cell r="M136" t="str">
            <v/>
          </cell>
          <cell r="O136" t="str">
            <v/>
          </cell>
          <cell r="P136">
            <v>0</v>
          </cell>
          <cell r="Q136">
            <v>0.35212409209139228</v>
          </cell>
          <cell r="R136" t="str">
            <v/>
          </cell>
          <cell r="S136">
            <v>0.35212409209139228</v>
          </cell>
          <cell r="T136">
            <v>82.499999999999986</v>
          </cell>
          <cell r="U136" t="str">
            <v>Old</v>
          </cell>
          <cell r="X136">
            <v>27.67</v>
          </cell>
          <cell r="Y136">
            <v>2.0687000000000002</v>
          </cell>
          <cell r="Z136">
            <v>-5.8699361694169792</v>
          </cell>
          <cell r="AA136">
            <v>-4.7953000000000001</v>
          </cell>
          <cell r="AB136">
            <v>-4.8717656812036996</v>
          </cell>
          <cell r="AC136" t="str">
            <v>AC-11,97/AC-10,100</v>
          </cell>
          <cell r="AE136">
            <v>33.023000000000003</v>
          </cell>
          <cell r="AF136" t="str">
            <v>16/20</v>
          </cell>
          <cell r="AG136">
            <v>16.5</v>
          </cell>
          <cell r="AH136">
            <v>59.7</v>
          </cell>
          <cell r="AI136">
            <v>420</v>
          </cell>
          <cell r="AJ136">
            <v>3826.1299911944443</v>
          </cell>
          <cell r="AK136">
            <v>2</v>
          </cell>
          <cell r="AL136" t="str">
            <v>1:-4.79530!156.12927</v>
          </cell>
          <cell r="AM136">
            <v>1</v>
          </cell>
          <cell r="AN136">
            <v>-4.7953000000000001</v>
          </cell>
          <cell r="AO136">
            <v>6.7730612789273481</v>
          </cell>
          <cell r="AP136">
            <v>156.12926999999999</v>
          </cell>
          <cell r="AQ136">
            <v>82.499999999999986</v>
          </cell>
          <cell r="AR136">
            <v>5.8749251714150548</v>
          </cell>
          <cell r="AS136">
            <v>6.3134162875849809</v>
          </cell>
          <cell r="AT136">
            <v>0</v>
          </cell>
          <cell r="AU136" t="str">
            <v/>
          </cell>
          <cell r="AV136">
            <v>0</v>
          </cell>
          <cell r="AW136" t="str">
            <v>Prefrac kh estimate too low by 189%</v>
          </cell>
          <cell r="AY136">
            <v>156.12926999999999</v>
          </cell>
        </row>
        <row r="137">
          <cell r="C137" t="str">
            <v>Priobskoe RB!8393</v>
          </cell>
          <cell r="E137" t="str">
            <v>8393</v>
          </cell>
          <cell r="F137">
            <v>2473.1999999999998</v>
          </cell>
          <cell r="G137">
            <v>36878</v>
          </cell>
          <cell r="H137">
            <v>248</v>
          </cell>
          <cell r="I137">
            <v>121.34668000000001</v>
          </cell>
          <cell r="J137" t="str">
            <v/>
          </cell>
          <cell r="M137" t="str">
            <v/>
          </cell>
          <cell r="O137" t="str">
            <v/>
          </cell>
          <cell r="P137">
            <v>0</v>
          </cell>
          <cell r="Q137">
            <v>0.4310852521361288</v>
          </cell>
          <cell r="R137" t="str">
            <v/>
          </cell>
          <cell r="S137">
            <v>0.4310852521361288</v>
          </cell>
          <cell r="T137">
            <v>101</v>
          </cell>
          <cell r="U137" t="str">
            <v>Old</v>
          </cell>
          <cell r="W137" t="str">
            <v>2 data points</v>
          </cell>
          <cell r="X137">
            <v>8</v>
          </cell>
          <cell r="Y137">
            <v>3.15</v>
          </cell>
          <cell r="Z137">
            <v>-6.105945405074527</v>
          </cell>
          <cell r="AA137">
            <v>-4.7821199999999999</v>
          </cell>
          <cell r="AB137">
            <v>-4.7990192217719052</v>
          </cell>
          <cell r="AC137" t="str">
            <v>AS11,100</v>
          </cell>
          <cell r="AE137">
            <v>39.229999999999997</v>
          </cell>
          <cell r="AF137" t="str">
            <v>16/20C</v>
          </cell>
          <cell r="AG137">
            <v>20.2</v>
          </cell>
          <cell r="AH137">
            <v>54.4</v>
          </cell>
          <cell r="AI137">
            <v>600</v>
          </cell>
          <cell r="AJ137">
            <v>5820.6497999544199</v>
          </cell>
          <cell r="AK137">
            <v>1</v>
          </cell>
          <cell r="AL137" t="str">
            <v>1:-4.78212!185.68470</v>
          </cell>
          <cell r="AM137">
            <v>1</v>
          </cell>
          <cell r="AN137">
            <v>-4.7821199999999999</v>
          </cell>
          <cell r="AO137">
            <v>11.639861696676988</v>
          </cell>
          <cell r="AP137">
            <v>185.68469999999999</v>
          </cell>
          <cell r="AQ137">
            <v>101</v>
          </cell>
          <cell r="AR137">
            <v>5.6744272621061507</v>
          </cell>
          <cell r="AS137">
            <v>5.93132142787685</v>
          </cell>
          <cell r="AT137">
            <v>0</v>
          </cell>
          <cell r="AU137" t="str">
            <v/>
          </cell>
          <cell r="AV137">
            <v>0</v>
          </cell>
          <cell r="AW137" t="str">
            <v>Prefrac kh estimate too low by 184%</v>
          </cell>
          <cell r="AY137">
            <v>185.68469999999999</v>
          </cell>
        </row>
        <row r="138">
          <cell r="C138" t="str">
            <v>Priobskoe RB!8412</v>
          </cell>
          <cell r="E138" t="str">
            <v>8412</v>
          </cell>
          <cell r="F138">
            <v>2552</v>
          </cell>
          <cell r="G138">
            <v>36590</v>
          </cell>
          <cell r="H138">
            <v>254.1754072</v>
          </cell>
          <cell r="I138">
            <v>121.34668000000001</v>
          </cell>
          <cell r="J138" t="str">
            <v/>
          </cell>
          <cell r="M138" t="str">
            <v/>
          </cell>
          <cell r="O138" t="str">
            <v/>
          </cell>
          <cell r="P138">
            <v>0</v>
          </cell>
          <cell r="Q138">
            <v>0.38200128778399534</v>
          </cell>
          <cell r="R138" t="str">
            <v/>
          </cell>
          <cell r="S138">
            <v>0.38200128778399534</v>
          </cell>
          <cell r="T138">
            <v>89.500000000000014</v>
          </cell>
          <cell r="U138" t="str">
            <v>New</v>
          </cell>
          <cell r="X138">
            <v>41</v>
          </cell>
          <cell r="Y138">
            <v>1.2431000000000001</v>
          </cell>
          <cell r="Z138">
            <v>-4.9002106910989607</v>
          </cell>
          <cell r="AA138">
            <v>-4.8756300000000001</v>
          </cell>
          <cell r="AB138">
            <v>-4.8005389139980377</v>
          </cell>
          <cell r="AC138" t="str">
            <v>AC-12,100/AS-11,100</v>
          </cell>
          <cell r="AE138">
            <v>42.585000000000001</v>
          </cell>
          <cell r="AF138" t="str">
            <v>16/30</v>
          </cell>
          <cell r="AG138">
            <v>17.899999999999999</v>
          </cell>
          <cell r="AH138">
            <v>57.9</v>
          </cell>
          <cell r="AI138">
            <v>420</v>
          </cell>
          <cell r="AJ138">
            <v>4689.4998747767695</v>
          </cell>
          <cell r="AK138">
            <v>2</v>
          </cell>
          <cell r="AL138" t="str">
            <v>1:-4.87563!89.40457</v>
          </cell>
          <cell r="AM138">
            <v>1</v>
          </cell>
          <cell r="AN138">
            <v>-4.8756300000000001</v>
          </cell>
          <cell r="AO138">
            <v>16.215908200234658</v>
          </cell>
          <cell r="AP138">
            <v>89.404570000000007</v>
          </cell>
          <cell r="AQ138">
            <v>89.500000000000014</v>
          </cell>
          <cell r="AR138">
            <v>3.2143612605627916</v>
          </cell>
          <cell r="AS138" t="str">
            <v/>
          </cell>
          <cell r="AT138">
            <v>0</v>
          </cell>
          <cell r="AU138" t="str">
            <v/>
          </cell>
          <cell r="AV138">
            <v>0</v>
          </cell>
          <cell r="AW138" t="str">
            <v>Prefrac  kh estimate acceptable</v>
          </cell>
          <cell r="AY138">
            <v>89.500000000000014</v>
          </cell>
        </row>
        <row r="139">
          <cell r="C139" t="str">
            <v>Priobskoe RB!8413</v>
          </cell>
          <cell r="E139" t="str">
            <v>8413</v>
          </cell>
          <cell r="F139">
            <v>2652.3</v>
          </cell>
          <cell r="G139">
            <v>36844</v>
          </cell>
          <cell r="H139">
            <v>248</v>
          </cell>
          <cell r="I139">
            <v>121.34668000000001</v>
          </cell>
          <cell r="J139" t="str">
            <v/>
          </cell>
          <cell r="M139" t="str">
            <v/>
          </cell>
          <cell r="O139" t="str">
            <v/>
          </cell>
          <cell r="P139">
            <v>0</v>
          </cell>
          <cell r="Q139">
            <v>0.28169927367311387</v>
          </cell>
          <cell r="R139" t="str">
            <v/>
          </cell>
          <cell r="S139">
            <v>0.28169927367311387</v>
          </cell>
          <cell r="T139">
            <v>66.000000000000014</v>
          </cell>
          <cell r="U139" t="str">
            <v>Old</v>
          </cell>
          <cell r="X139">
            <v>28</v>
          </cell>
          <cell r="Y139">
            <v>1.0994999999999999</v>
          </cell>
          <cell r="Z139">
            <v>-5.2616279815807969</v>
          </cell>
          <cell r="AA139">
            <v>-4.97729</v>
          </cell>
          <cell r="AB139">
            <v>-4.9413011854267879</v>
          </cell>
          <cell r="AC139" t="str">
            <v>AS-12,100/AC-11,100</v>
          </cell>
          <cell r="AE139">
            <v>36.659999999999997</v>
          </cell>
          <cell r="AF139" t="str">
            <v>16/20C</v>
          </cell>
          <cell r="AG139">
            <v>16.5</v>
          </cell>
          <cell r="AH139">
            <v>62.6</v>
          </cell>
          <cell r="AI139">
            <v>600</v>
          </cell>
          <cell r="AJ139">
            <v>5786.7885691194469</v>
          </cell>
          <cell r="AK139">
            <v>2</v>
          </cell>
          <cell r="AL139" t="str">
            <v>1:-4.97729!64.70429</v>
          </cell>
          <cell r="AM139">
            <v>1</v>
          </cell>
          <cell r="AN139">
            <v>-4.97729</v>
          </cell>
          <cell r="AO139">
            <v>23.572961660681408</v>
          </cell>
          <cell r="AP139">
            <v>64.70429</v>
          </cell>
          <cell r="AQ139">
            <v>66.000000000000014</v>
          </cell>
          <cell r="AR139">
            <v>3.3075706081338216</v>
          </cell>
          <cell r="AS139" t="str">
            <v/>
          </cell>
          <cell r="AT139">
            <v>0</v>
          </cell>
          <cell r="AU139" t="str">
            <v/>
          </cell>
          <cell r="AV139">
            <v>0</v>
          </cell>
          <cell r="AW139" t="str">
            <v>Prefrac  kh estimate acceptable</v>
          </cell>
          <cell r="AY139">
            <v>66.000000000000014</v>
          </cell>
        </row>
        <row r="140">
          <cell r="C140" t="str">
            <v>Priobskoe RB!8442</v>
          </cell>
          <cell r="E140" t="str">
            <v>8442</v>
          </cell>
          <cell r="F140">
            <v>2659</v>
          </cell>
          <cell r="G140">
            <v>36829</v>
          </cell>
          <cell r="H140">
            <v>240</v>
          </cell>
          <cell r="I140">
            <v>121.34668000000001</v>
          </cell>
          <cell r="J140" t="str">
            <v/>
          </cell>
          <cell r="M140" t="str">
            <v/>
          </cell>
          <cell r="O140" t="str">
            <v/>
          </cell>
          <cell r="P140">
            <v>0</v>
          </cell>
          <cell r="Q140">
            <v>0.12036241693305774</v>
          </cell>
          <cell r="R140" t="str">
            <v/>
          </cell>
          <cell r="S140">
            <v>0.12036241693305774</v>
          </cell>
          <cell r="T140">
            <v>28.2</v>
          </cell>
          <cell r="U140" t="str">
            <v>Old</v>
          </cell>
          <cell r="X140">
            <v>50</v>
          </cell>
          <cell r="Y140">
            <v>0.46</v>
          </cell>
          <cell r="Z140">
            <v>-5.2230693252860334</v>
          </cell>
          <cell r="AA140">
            <v>-5.3464799999999997</v>
          </cell>
          <cell r="AB140">
            <v>-5.2591581520218309</v>
          </cell>
          <cell r="AC140" t="str">
            <v>AS-12,100/AS-11,100</v>
          </cell>
          <cell r="AE140">
            <v>36.799999999999997</v>
          </cell>
          <cell r="AF140" t="str">
            <v>16/30</v>
          </cell>
          <cell r="AG140">
            <v>9.4</v>
          </cell>
          <cell r="AH140">
            <v>93.1</v>
          </cell>
          <cell r="AI140">
            <v>420</v>
          </cell>
          <cell r="AJ140">
            <v>4799.2321228603414</v>
          </cell>
          <cell r="AK140">
            <v>2</v>
          </cell>
          <cell r="AL140" t="str">
            <v>1:-5.34648!22.19997</v>
          </cell>
          <cell r="AM140">
            <v>1</v>
          </cell>
          <cell r="AN140">
            <v>-5.3464799999999997</v>
          </cell>
          <cell r="AO140">
            <v>21.827175524810315</v>
          </cell>
          <cell r="AP140">
            <v>22.19997</v>
          </cell>
          <cell r="AQ140">
            <v>28.2</v>
          </cell>
          <cell r="AR140">
            <v>3.2235655701471577</v>
          </cell>
          <cell r="AS140" t="str">
            <v/>
          </cell>
          <cell r="AT140">
            <v>0</v>
          </cell>
          <cell r="AU140" t="str">
            <v/>
          </cell>
          <cell r="AV140">
            <v>0</v>
          </cell>
          <cell r="AW140" t="str">
            <v>Prefrac  kh estimate acceptable</v>
          </cell>
          <cell r="AY140">
            <v>28.2</v>
          </cell>
        </row>
        <row r="141">
          <cell r="C141" t="str">
            <v>Priobskoe RB!8443</v>
          </cell>
          <cell r="E141" t="str">
            <v>8443</v>
          </cell>
          <cell r="F141">
            <v>2401</v>
          </cell>
          <cell r="G141">
            <v>36627</v>
          </cell>
          <cell r="H141">
            <v>254.1754072</v>
          </cell>
          <cell r="I141">
            <v>121.34668000000001</v>
          </cell>
          <cell r="J141">
            <v>99.990000000000009</v>
          </cell>
          <cell r="K141">
            <v>111.1</v>
          </cell>
          <cell r="L141">
            <v>0</v>
          </cell>
          <cell r="M141">
            <v>100</v>
          </cell>
          <cell r="N141">
            <v>1549</v>
          </cell>
          <cell r="O141">
            <v>89.679999999999993</v>
          </cell>
          <cell r="P141">
            <v>0</v>
          </cell>
          <cell r="R141">
            <v>0.69082317822705341</v>
          </cell>
          <cell r="S141">
            <v>0.69082317822705341</v>
          </cell>
          <cell r="T141">
            <v>161.85462308253429</v>
          </cell>
          <cell r="U141" t="str">
            <v>New</v>
          </cell>
          <cell r="X141">
            <v>28.75</v>
          </cell>
          <cell r="Y141">
            <v>0.86</v>
          </cell>
          <cell r="Z141">
            <v>-1.3915867688282084</v>
          </cell>
          <cell r="AA141">
            <v>-1.3914200000000001</v>
          </cell>
          <cell r="AB141">
            <v>-4.9588640503303072</v>
          </cell>
          <cell r="AC141" t="str">
            <v>AC-12,99/AC-11,98/AC-10,100</v>
          </cell>
          <cell r="AE141">
            <v>41.67</v>
          </cell>
          <cell r="AF141" t="str">
            <v>16/30</v>
          </cell>
          <cell r="AG141">
            <v>9.5</v>
          </cell>
          <cell r="AH141">
            <v>69.2</v>
          </cell>
          <cell r="AI141">
            <v>420</v>
          </cell>
          <cell r="AJ141">
            <v>7234.2793084747555</v>
          </cell>
          <cell r="AK141">
            <v>3</v>
          </cell>
          <cell r="AL141" t="str">
            <v>0.00705:-1.39142!161.85462</v>
          </cell>
          <cell r="AM141">
            <v>7.0499999999999998E-3</v>
          </cell>
          <cell r="AN141">
            <v>-1.3914200000000001</v>
          </cell>
          <cell r="AO141">
            <v>4.3259032269535591E-2</v>
          </cell>
          <cell r="AP141">
            <v>161.85462000000001</v>
          </cell>
          <cell r="AQ141">
            <v>161.85462308253429</v>
          </cell>
          <cell r="AR141">
            <v>1.2448551070124587</v>
          </cell>
          <cell r="AS141" t="str">
            <v/>
          </cell>
          <cell r="AT141">
            <v>0</v>
          </cell>
          <cell r="AU141" t="str">
            <v/>
          </cell>
          <cell r="AV141">
            <v>0</v>
          </cell>
          <cell r="AW141" t="str">
            <v>Proppant Pack damage=1%</v>
          </cell>
          <cell r="AY141">
            <v>161.85462308253429</v>
          </cell>
        </row>
        <row r="142">
          <cell r="C142" t="str">
            <v>Priobskoe RB!8444</v>
          </cell>
          <cell r="E142" t="str">
            <v>8444</v>
          </cell>
          <cell r="F142">
            <v>2533.4</v>
          </cell>
          <cell r="G142">
            <v>36591</v>
          </cell>
          <cell r="H142">
            <v>256.24543879999999</v>
          </cell>
          <cell r="I142">
            <v>121.34668000000001</v>
          </cell>
          <cell r="J142">
            <v>66.78</v>
          </cell>
          <cell r="K142">
            <v>74.2</v>
          </cell>
          <cell r="L142">
            <v>0</v>
          </cell>
          <cell r="M142">
            <v>100</v>
          </cell>
          <cell r="N142">
            <v>1174</v>
          </cell>
          <cell r="O142">
            <v>135.346</v>
          </cell>
          <cell r="P142">
            <v>0</v>
          </cell>
          <cell r="R142">
            <v>0.61373320452501567</v>
          </cell>
          <cell r="S142">
            <v>0.61373320452501567</v>
          </cell>
          <cell r="T142">
            <v>143.7930278288718</v>
          </cell>
          <cell r="U142" t="str">
            <v>Old</v>
          </cell>
          <cell r="X142">
            <v>40</v>
          </cell>
          <cell r="Y142">
            <v>0.8</v>
          </cell>
          <cell r="Z142">
            <v>-1.6470748518559972</v>
          </cell>
          <cell r="AA142">
            <v>-1.64697</v>
          </cell>
          <cell r="AB142">
            <v>-5.039381888559344</v>
          </cell>
          <cell r="AC142" t="str">
            <v>AC-12,100/AC-11,100/AC-10,99</v>
          </cell>
          <cell r="AE142">
            <v>37.01</v>
          </cell>
          <cell r="AF142" t="str">
            <v>16/30</v>
          </cell>
          <cell r="AG142">
            <v>12.6</v>
          </cell>
          <cell r="AH142">
            <v>74.5</v>
          </cell>
          <cell r="AI142">
            <v>420</v>
          </cell>
          <cell r="AJ142">
            <v>4499.8054663943194</v>
          </cell>
          <cell r="AK142">
            <v>3</v>
          </cell>
          <cell r="AL142" t="str">
            <v>0.00994:-1.64697!143.79303</v>
          </cell>
          <cell r="AM142">
            <v>9.9399999999999992E-3</v>
          </cell>
          <cell r="AN142">
            <v>-1.64697</v>
          </cell>
          <cell r="AO142">
            <v>5.2608577687707866E-2</v>
          </cell>
          <cell r="AP142">
            <v>143.79302999999999</v>
          </cell>
          <cell r="AQ142">
            <v>143.7930278288718</v>
          </cell>
          <cell r="AR142">
            <v>1.3034728086920859</v>
          </cell>
          <cell r="AS142">
            <v>1.0681088546959927E-7</v>
          </cell>
          <cell r="AT142">
            <v>0</v>
          </cell>
          <cell r="AU142" t="str">
            <v/>
          </cell>
          <cell r="AV142">
            <v>0</v>
          </cell>
          <cell r="AW142" t="str">
            <v>Proppant Pack damage=1%</v>
          </cell>
          <cell r="AY142">
            <v>143.79302999999999</v>
          </cell>
        </row>
        <row r="143">
          <cell r="C143" t="str">
            <v>Priobskoe RB!8445</v>
          </cell>
          <cell r="E143" t="str">
            <v>8445</v>
          </cell>
          <cell r="F143">
            <v>2473</v>
          </cell>
          <cell r="G143">
            <v>36827</v>
          </cell>
          <cell r="H143">
            <v>160</v>
          </cell>
          <cell r="I143">
            <v>121.34668000000001</v>
          </cell>
          <cell r="J143" t="str">
            <v/>
          </cell>
          <cell r="M143" t="str">
            <v/>
          </cell>
          <cell r="O143" t="str">
            <v/>
          </cell>
          <cell r="P143">
            <v>0</v>
          </cell>
          <cell r="Q143">
            <v>0.27102884664004134</v>
          </cell>
          <cell r="R143" t="str">
            <v/>
          </cell>
          <cell r="S143">
            <v>0.27102884664004134</v>
          </cell>
          <cell r="T143">
            <v>63.499999999999993</v>
          </cell>
          <cell r="U143" t="str">
            <v>Old</v>
          </cell>
          <cell r="X143">
            <v>22.75</v>
          </cell>
          <cell r="Y143">
            <v>2</v>
          </cell>
          <cell r="Z143">
            <v>-6.1154107451558088</v>
          </cell>
          <cell r="AA143">
            <v>-4.8016199999999998</v>
          </cell>
          <cell r="AB143">
            <v>-4.8404368901943187</v>
          </cell>
          <cell r="AC143" t="str">
            <v>AS-12,94/AS-11,100/AS-10,98</v>
          </cell>
          <cell r="AE143">
            <v>29.42</v>
          </cell>
          <cell r="AF143" t="str">
            <v>16/30</v>
          </cell>
          <cell r="AG143">
            <v>12.7</v>
          </cell>
          <cell r="AH143">
            <v>62</v>
          </cell>
          <cell r="AI143">
            <v>420</v>
          </cell>
          <cell r="AJ143">
            <v>4264.309615575753</v>
          </cell>
          <cell r="AK143">
            <v>3</v>
          </cell>
          <cell r="AL143" t="str">
            <v>1:-4.80162!150.52549</v>
          </cell>
          <cell r="AM143">
            <v>1</v>
          </cell>
          <cell r="AN143">
            <v>-4.8016199999999998</v>
          </cell>
          <cell r="AO143">
            <v>5.8029751593537373</v>
          </cell>
          <cell r="AP143">
            <v>150.52548999999999</v>
          </cell>
          <cell r="AQ143">
            <v>63.499999999999993</v>
          </cell>
          <cell r="AR143">
            <v>7.3792878719597077</v>
          </cell>
          <cell r="AS143">
            <v>9.6948396909813255</v>
          </cell>
          <cell r="AT143">
            <v>0</v>
          </cell>
          <cell r="AU143" t="str">
            <v/>
          </cell>
          <cell r="AV143">
            <v>0</v>
          </cell>
          <cell r="AW143" t="str">
            <v>Prefrac kh estimate too low by 237%</v>
          </cell>
          <cell r="AY143">
            <v>150.52548999999999</v>
          </cell>
        </row>
        <row r="144">
          <cell r="C144" t="str">
            <v>Priobskoe RB!8446</v>
          </cell>
          <cell r="E144" t="str">
            <v>8446</v>
          </cell>
          <cell r="F144">
            <v>2516</v>
          </cell>
          <cell r="G144">
            <v>36630</v>
          </cell>
          <cell r="H144">
            <v>256.24543879999999</v>
          </cell>
          <cell r="I144">
            <v>121.34668000000001</v>
          </cell>
          <cell r="J144">
            <v>88.92</v>
          </cell>
          <cell r="K144">
            <v>98.8</v>
          </cell>
          <cell r="L144">
            <v>0</v>
          </cell>
          <cell r="M144">
            <v>100</v>
          </cell>
          <cell r="N144">
            <v>1262</v>
          </cell>
          <cell r="O144">
            <v>125.86</v>
          </cell>
          <cell r="P144">
            <v>0</v>
          </cell>
          <cell r="R144">
            <v>0.75775332666978779</v>
          </cell>
          <cell r="S144">
            <v>0.75775332666978779</v>
          </cell>
          <cell r="T144">
            <v>177.53584845319833</v>
          </cell>
          <cell r="U144" t="str">
            <v>Old</v>
          </cell>
          <cell r="X144">
            <v>19</v>
          </cell>
          <cell r="Y144">
            <v>1.05</v>
          </cell>
          <cell r="Z144">
            <v>-1.9689203939596291</v>
          </cell>
          <cell r="AA144">
            <v>-1.9685299999999999</v>
          </cell>
          <cell r="AB144">
            <v>-5.1128608569360559</v>
          </cell>
          <cell r="AC144" t="str">
            <v>AC-12,100/AC-11,99/AC-10,99</v>
          </cell>
          <cell r="AE144">
            <v>41.204999999999998</v>
          </cell>
          <cell r="AF144" t="str">
            <v>16/30</v>
          </cell>
          <cell r="AG144">
            <v>11.8</v>
          </cell>
          <cell r="AH144">
            <v>89.2</v>
          </cell>
          <cell r="AI144">
            <v>420</v>
          </cell>
          <cell r="AJ144">
            <v>4467.9111549150548</v>
          </cell>
          <cell r="AK144">
            <v>3</v>
          </cell>
          <cell r="AL144" t="str">
            <v>0.01801:-1.96853!177.53585</v>
          </cell>
          <cell r="AM144">
            <v>1.8010000000000002E-2</v>
          </cell>
          <cell r="AN144">
            <v>-1.9685299999999999</v>
          </cell>
          <cell r="AO144">
            <v>5.9958302719676275E-2</v>
          </cell>
          <cell r="AP144">
            <v>177.53585000000001</v>
          </cell>
          <cell r="AQ144">
            <v>177.53584845319833</v>
          </cell>
          <cell r="AR144">
            <v>1.3855692540801257</v>
          </cell>
          <cell r="AS144">
            <v>6.1633446790665403E-8</v>
          </cell>
          <cell r="AT144">
            <v>0</v>
          </cell>
          <cell r="AU144" t="str">
            <v/>
          </cell>
          <cell r="AV144">
            <v>0</v>
          </cell>
          <cell r="AW144" t="str">
            <v>Proppant Pack damage=2%</v>
          </cell>
          <cell r="AY144">
            <v>177.53585000000001</v>
          </cell>
        </row>
        <row r="145">
          <cell r="C145" t="str">
            <v>Priobskoe RB!8447</v>
          </cell>
          <cell r="E145" t="str">
            <v>8447</v>
          </cell>
          <cell r="F145">
            <v>2563.5</v>
          </cell>
          <cell r="G145">
            <v>36856</v>
          </cell>
          <cell r="H145">
            <v>245</v>
          </cell>
          <cell r="I145">
            <v>121.34668000000001</v>
          </cell>
          <cell r="J145" t="str">
            <v/>
          </cell>
          <cell r="M145" t="str">
            <v/>
          </cell>
          <cell r="O145" t="str">
            <v/>
          </cell>
          <cell r="P145">
            <v>0</v>
          </cell>
          <cell r="Q145">
            <v>0.30304012773925881</v>
          </cell>
          <cell r="R145" t="str">
            <v/>
          </cell>
          <cell r="S145">
            <v>0.30304012773925881</v>
          </cell>
          <cell r="T145">
            <v>71</v>
          </cell>
          <cell r="U145" t="str">
            <v>Old</v>
          </cell>
          <cell r="X145">
            <v>26.5</v>
          </cell>
          <cell r="Y145">
            <v>1.9</v>
          </cell>
          <cell r="Z145">
            <v>-5.945772428349299</v>
          </cell>
          <cell r="AA145">
            <v>-5.0010700000000003</v>
          </cell>
          <cell r="AB145">
            <v>-5.0222726077417086</v>
          </cell>
          <cell r="AC145" t="str">
            <v>AS-12,70/AC-12,100/AC-11,100</v>
          </cell>
          <cell r="AE145">
            <v>34.609000000000002</v>
          </cell>
          <cell r="AF145" t="str">
            <v>16/20C</v>
          </cell>
          <cell r="AG145">
            <v>14.2</v>
          </cell>
          <cell r="AH145">
            <v>71.099999999999994</v>
          </cell>
          <cell r="AI145">
            <v>600</v>
          </cell>
          <cell r="AJ145">
            <v>5589.0055061611656</v>
          </cell>
          <cell r="AK145">
            <v>3</v>
          </cell>
          <cell r="AL145" t="str">
            <v>1:-5.00107!130.44835</v>
          </cell>
          <cell r="AM145">
            <v>1</v>
          </cell>
          <cell r="AN145">
            <v>-5.0010700000000003</v>
          </cell>
          <cell r="AO145">
            <v>8.5568652097527416</v>
          </cell>
          <cell r="AP145">
            <v>130.44835</v>
          </cell>
          <cell r="AQ145">
            <v>71</v>
          </cell>
          <cell r="AR145">
            <v>6.2698022791397525</v>
          </cell>
          <cell r="AS145">
            <v>5.9231037066125163</v>
          </cell>
          <cell r="AT145">
            <v>0</v>
          </cell>
          <cell r="AU145" t="str">
            <v/>
          </cell>
          <cell r="AV145">
            <v>0</v>
          </cell>
          <cell r="AW145" t="str">
            <v>Prefrac kh estimate too low by 184%</v>
          </cell>
          <cell r="AY145">
            <v>130.44835</v>
          </cell>
        </row>
        <row r="146">
          <cell r="C146" t="str">
            <v>Priobskoe RB!8448</v>
          </cell>
          <cell r="E146" t="str">
            <v>8448</v>
          </cell>
          <cell r="F146">
            <v>2464.4</v>
          </cell>
          <cell r="G146">
            <v>36745</v>
          </cell>
          <cell r="H146">
            <v>255.20532439999999</v>
          </cell>
          <cell r="I146">
            <v>121.34668000000001</v>
          </cell>
          <cell r="J146" t="str">
            <v/>
          </cell>
          <cell r="M146" t="str">
            <v/>
          </cell>
          <cell r="O146" t="str">
            <v/>
          </cell>
          <cell r="P146">
            <v>0</v>
          </cell>
          <cell r="Q146">
            <v>0.29023561529957187</v>
          </cell>
          <cell r="R146" t="str">
            <v/>
          </cell>
          <cell r="S146">
            <v>0.29023561529957187</v>
          </cell>
          <cell r="T146">
            <v>68.000000000000014</v>
          </cell>
          <cell r="U146" t="str">
            <v>Old</v>
          </cell>
          <cell r="X146">
            <v>15</v>
          </cell>
          <cell r="Y146">
            <v>1.6823999999999999</v>
          </cell>
          <cell r="Z146">
            <v>-5.8536821873789036</v>
          </cell>
          <cell r="AA146">
            <v>-4.5028699999999997</v>
          </cell>
          <cell r="AB146">
            <v>-4.5399243062300449</v>
          </cell>
          <cell r="AC146" t="str">
            <v>AS-11,84/AS-10,87</v>
          </cell>
          <cell r="AE146">
            <v>29.47</v>
          </cell>
          <cell r="AF146" t="str">
            <v>16/20</v>
          </cell>
          <cell r="AG146">
            <v>13.6</v>
          </cell>
          <cell r="AH146">
            <v>39.5</v>
          </cell>
          <cell r="AI146">
            <v>420</v>
          </cell>
          <cell r="AJ146">
            <v>6261.0273883906884</v>
          </cell>
          <cell r="AK146">
            <v>2</v>
          </cell>
          <cell r="AL146" t="str">
            <v>1:-4.50287!132.54322</v>
          </cell>
          <cell r="AM146">
            <v>1</v>
          </cell>
          <cell r="AN146">
            <v>-4.5028699999999997</v>
          </cell>
          <cell r="AO146">
            <v>16.264094880721078</v>
          </cell>
          <cell r="AP146">
            <v>132.54321999999999</v>
          </cell>
          <cell r="AQ146">
            <v>68.000000000000014</v>
          </cell>
          <cell r="AR146">
            <v>5.3627145067204678</v>
          </cell>
          <cell r="AS146">
            <v>6.7144368818944082</v>
          </cell>
          <cell r="AT146">
            <v>0</v>
          </cell>
          <cell r="AU146" t="str">
            <v/>
          </cell>
          <cell r="AV146">
            <v>0</v>
          </cell>
          <cell r="AW146" t="str">
            <v>Prefrac kh estimate too low by 195%</v>
          </cell>
          <cell r="AY146">
            <v>132.54321999999999</v>
          </cell>
        </row>
        <row r="147">
          <cell r="C147" t="str">
            <v>Priobskoe RB!8449</v>
          </cell>
          <cell r="E147" t="str">
            <v>8449</v>
          </cell>
          <cell r="F147">
            <v>2613.0500000000002</v>
          </cell>
          <cell r="G147">
            <v>36759</v>
          </cell>
          <cell r="H147">
            <v>260</v>
          </cell>
          <cell r="I147">
            <v>121.34668000000001</v>
          </cell>
          <cell r="J147" t="str">
            <v/>
          </cell>
          <cell r="M147" t="str">
            <v/>
          </cell>
          <cell r="O147" t="str">
            <v/>
          </cell>
          <cell r="P147">
            <v>0</v>
          </cell>
          <cell r="Q147">
            <v>0.1920676865953049</v>
          </cell>
          <cell r="R147" t="str">
            <v/>
          </cell>
          <cell r="S147">
            <v>0.1920676865953049</v>
          </cell>
          <cell r="T147">
            <v>45</v>
          </cell>
          <cell r="U147" t="str">
            <v>Old</v>
          </cell>
          <cell r="X147">
            <v>39.5</v>
          </cell>
          <cell r="Y147">
            <v>1.18</v>
          </cell>
          <cell r="Z147">
            <v>-5.9226090174885684</v>
          </cell>
          <cell r="AA147">
            <v>-5.0972499999999998</v>
          </cell>
          <cell r="AB147">
            <v>-5.0824219115785301</v>
          </cell>
          <cell r="AC147" t="str">
            <v>AS-12,100/AS-11,100/AS-10,100</v>
          </cell>
          <cell r="AE147">
            <v>41.74</v>
          </cell>
          <cell r="AF147" t="str">
            <v>16/30</v>
          </cell>
          <cell r="AG147">
            <v>9</v>
          </cell>
          <cell r="AH147">
            <v>76.400000000000006</v>
          </cell>
          <cell r="AI147">
            <v>420</v>
          </cell>
          <cell r="AJ147">
            <v>6928.162227786629</v>
          </cell>
          <cell r="AK147">
            <v>3</v>
          </cell>
          <cell r="AL147" t="str">
            <v>1:-5.09725!77.25637</v>
          </cell>
          <cell r="AM147">
            <v>1</v>
          </cell>
          <cell r="AN147">
            <v>-5.0972499999999998</v>
          </cell>
          <cell r="AO147">
            <v>10.564109665693568</v>
          </cell>
          <cell r="AP147">
            <v>77.256370000000004</v>
          </cell>
          <cell r="AQ147">
            <v>45</v>
          </cell>
          <cell r="AR147">
            <v>6.1436689922070515</v>
          </cell>
          <cell r="AS147">
            <v>5.0707343449601021</v>
          </cell>
          <cell r="AT147">
            <v>0</v>
          </cell>
          <cell r="AU147" t="str">
            <v/>
          </cell>
          <cell r="AV147">
            <v>0</v>
          </cell>
          <cell r="AW147" t="str">
            <v>Prefrac kh estimate too low by 172%</v>
          </cell>
          <cell r="AY147">
            <v>77.256370000000004</v>
          </cell>
        </row>
        <row r="148">
          <cell r="C148" t="str">
            <v>Priobskoe RB!8450</v>
          </cell>
          <cell r="E148" t="str">
            <v>8450</v>
          </cell>
          <cell r="F148">
            <v>2599.9</v>
          </cell>
          <cell r="G148">
            <v>36768</v>
          </cell>
          <cell r="H148">
            <v>238</v>
          </cell>
          <cell r="I148">
            <v>121.34668000000001</v>
          </cell>
          <cell r="J148" t="str">
            <v/>
          </cell>
          <cell r="M148" t="str">
            <v/>
          </cell>
          <cell r="O148" t="str">
            <v/>
          </cell>
          <cell r="P148">
            <v>0</v>
          </cell>
          <cell r="Q148">
            <v>0.4566942770155028</v>
          </cell>
          <cell r="R148" t="str">
            <v/>
          </cell>
          <cell r="S148">
            <v>0.4566942770155028</v>
          </cell>
          <cell r="T148">
            <v>107.00000000000001</v>
          </cell>
          <cell r="U148" t="str">
            <v>Old</v>
          </cell>
          <cell r="X148">
            <v>37.5</v>
          </cell>
          <cell r="Y148">
            <v>2.8393000000000002</v>
          </cell>
          <cell r="Z148">
            <v>-5.936203469207852</v>
          </cell>
          <cell r="AA148">
            <v>-4.8807200000000002</v>
          </cell>
          <cell r="AB148">
            <v>-4.8786691796504353</v>
          </cell>
          <cell r="AC148" t="str">
            <v>AS-12,100/AS-11,100/AS-10,99</v>
          </cell>
          <cell r="AE148">
            <v>38.96</v>
          </cell>
          <cell r="AF148" t="str">
            <v>16/30</v>
          </cell>
          <cell r="AG148">
            <v>10.7</v>
          </cell>
          <cell r="AH148">
            <v>75</v>
          </cell>
          <cell r="AI148">
            <v>420</v>
          </cell>
          <cell r="AJ148">
            <v>5540.8370581064619</v>
          </cell>
          <cell r="AK148">
            <v>3</v>
          </cell>
          <cell r="AL148" t="str">
            <v>1:-4.88072!206.25518</v>
          </cell>
          <cell r="AM148">
            <v>1</v>
          </cell>
          <cell r="AN148">
            <v>-4.8807200000000002</v>
          </cell>
          <cell r="AO148">
            <v>3.8325958825528095</v>
          </cell>
          <cell r="AP148">
            <v>206.25518</v>
          </cell>
          <cell r="AQ148">
            <v>107.00000000000001</v>
          </cell>
          <cell r="AR148">
            <v>6.2170702968641001</v>
          </cell>
          <cell r="AS148">
            <v>6.5620159825777842</v>
          </cell>
          <cell r="AT148">
            <v>0</v>
          </cell>
          <cell r="AU148" t="str">
            <v/>
          </cell>
          <cell r="AV148">
            <v>0</v>
          </cell>
          <cell r="AW148" t="str">
            <v>Prefrac kh estimate too low by 193%</v>
          </cell>
          <cell r="AY148">
            <v>206.25518</v>
          </cell>
        </row>
        <row r="149">
          <cell r="C149" t="str">
            <v>Priobskoe RB!8472</v>
          </cell>
          <cell r="E149" t="str">
            <v>8472</v>
          </cell>
          <cell r="F149">
            <v>2476.9</v>
          </cell>
          <cell r="G149">
            <v>36846</v>
          </cell>
          <cell r="H149">
            <v>248</v>
          </cell>
          <cell r="I149">
            <v>121.34668000000001</v>
          </cell>
          <cell r="J149" t="str">
            <v/>
          </cell>
          <cell r="M149" t="str">
            <v/>
          </cell>
          <cell r="O149" t="str">
            <v/>
          </cell>
          <cell r="P149">
            <v>0</v>
          </cell>
          <cell r="Q149">
            <v>0.24874899499498601</v>
          </cell>
          <cell r="R149" t="str">
            <v/>
          </cell>
          <cell r="S149">
            <v>0.24874899499498601</v>
          </cell>
          <cell r="T149">
            <v>58.280000000000008</v>
          </cell>
          <cell r="U149" t="str">
            <v>Old</v>
          </cell>
          <cell r="X149">
            <v>40</v>
          </cell>
          <cell r="Y149">
            <v>0.62639999999999996</v>
          </cell>
          <cell r="Z149">
            <v>-4.2648796064041967</v>
          </cell>
          <cell r="AA149">
            <v>-5.0819400000000003</v>
          </cell>
          <cell r="AB149">
            <v>-5.0409114427261486</v>
          </cell>
          <cell r="AC149" t="str">
            <v>AC-12,97/AC-11,100</v>
          </cell>
          <cell r="AE149">
            <v>36.238999999999997</v>
          </cell>
          <cell r="AF149" t="str">
            <v>16/20</v>
          </cell>
          <cell r="AG149">
            <v>9.4</v>
          </cell>
          <cell r="AH149">
            <v>70.2</v>
          </cell>
          <cell r="AI149">
            <v>420</v>
          </cell>
          <cell r="AJ149">
            <v>6267.7650877234582</v>
          </cell>
          <cell r="AK149">
            <v>2</v>
          </cell>
          <cell r="AL149" t="str">
            <v>1:-5.08194!38.63450</v>
          </cell>
          <cell r="AM149">
            <v>1</v>
          </cell>
          <cell r="AN149">
            <v>-5.0819400000000003</v>
          </cell>
          <cell r="AO149">
            <v>21.723417873010444</v>
          </cell>
          <cell r="AP149">
            <v>38.634500000000003</v>
          </cell>
          <cell r="AQ149">
            <v>58.280000000000008</v>
          </cell>
          <cell r="AR149">
            <v>2.3540256315237018</v>
          </cell>
          <cell r="AS149" t="str">
            <v/>
          </cell>
          <cell r="AT149">
            <v>0</v>
          </cell>
          <cell r="AU149" t="str">
            <v/>
          </cell>
          <cell r="AV149">
            <v>0</v>
          </cell>
          <cell r="AW149" t="str">
            <v>Prefrac  kh estimate acceptable</v>
          </cell>
          <cell r="AY149">
            <v>58.280000000000008</v>
          </cell>
        </row>
        <row r="150">
          <cell r="C150" t="str">
            <v>Priobskoe RB!8474</v>
          </cell>
          <cell r="E150" t="str">
            <v>8474</v>
          </cell>
          <cell r="F150">
            <v>2552.75</v>
          </cell>
          <cell r="G150">
            <v>36610</v>
          </cell>
          <cell r="H150">
            <v>256.24543879999999</v>
          </cell>
          <cell r="I150">
            <v>121.34668000000001</v>
          </cell>
          <cell r="J150" t="str">
            <v/>
          </cell>
          <cell r="M150" t="str">
            <v/>
          </cell>
          <cell r="O150" t="str">
            <v/>
          </cell>
          <cell r="P150">
            <v>0</v>
          </cell>
          <cell r="Q150">
            <v>0.1370082831046508</v>
          </cell>
          <cell r="R150" t="str">
            <v/>
          </cell>
          <cell r="S150">
            <v>0.1370082831046508</v>
          </cell>
          <cell r="T150">
            <v>32.099999999999994</v>
          </cell>
          <cell r="U150" t="str">
            <v>Old</v>
          </cell>
          <cell r="X150">
            <v>35.75</v>
          </cell>
          <cell r="Y150">
            <v>0.45</v>
          </cell>
          <cell r="Z150">
            <v>-4.9202617918546814</v>
          </cell>
          <cell r="AA150">
            <v>-4.7378099999999996</v>
          </cell>
          <cell r="AB150">
            <v>-4.7176291908233896</v>
          </cell>
          <cell r="AC150" t="str">
            <v>AC-12,100/AC-11,100</v>
          </cell>
          <cell r="AE150">
            <v>44.947000000000003</v>
          </cell>
          <cell r="AF150" t="str">
            <v>16/30</v>
          </cell>
          <cell r="AG150">
            <v>10.7</v>
          </cell>
          <cell r="AH150">
            <v>46.8</v>
          </cell>
          <cell r="AI150">
            <v>420</v>
          </cell>
          <cell r="AJ150">
            <v>10244.070317465279</v>
          </cell>
          <cell r="AK150">
            <v>2</v>
          </cell>
          <cell r="AL150" t="str">
            <v>1:-4.73781!29.06146</v>
          </cell>
          <cell r="AM150">
            <v>1</v>
          </cell>
          <cell r="AN150">
            <v>-4.7378099999999996</v>
          </cell>
          <cell r="AO150">
            <v>80.592206584510521</v>
          </cell>
          <cell r="AP150">
            <v>29.06146</v>
          </cell>
          <cell r="AQ150">
            <v>32.099999999999994</v>
          </cell>
          <cell r="AR150">
            <v>2.7413441634192779</v>
          </cell>
          <cell r="AS150" t="str">
            <v/>
          </cell>
          <cell r="AT150">
            <v>0</v>
          </cell>
          <cell r="AU150" t="str">
            <v/>
          </cell>
          <cell r="AV150">
            <v>0</v>
          </cell>
          <cell r="AW150" t="str">
            <v>Prefrac  kh estimate acceptable</v>
          </cell>
          <cell r="AY150">
            <v>32.099999999999994</v>
          </cell>
        </row>
        <row r="151">
          <cell r="C151" t="str">
            <v>Priobskoe RB!8475</v>
          </cell>
          <cell r="E151" t="str">
            <v>8475</v>
          </cell>
          <cell r="F151">
            <v>2397.4</v>
          </cell>
          <cell r="G151">
            <v>36754</v>
          </cell>
          <cell r="H151">
            <v>235</v>
          </cell>
          <cell r="I151">
            <v>121.34668000000001</v>
          </cell>
          <cell r="J151" t="str">
            <v/>
          </cell>
          <cell r="M151" t="str">
            <v/>
          </cell>
          <cell r="O151" t="str">
            <v/>
          </cell>
          <cell r="P151">
            <v>0</v>
          </cell>
          <cell r="Q151">
            <v>0.27529701745327034</v>
          </cell>
          <cell r="R151" t="str">
            <v/>
          </cell>
          <cell r="S151">
            <v>0.27529701745327034</v>
          </cell>
          <cell r="T151">
            <v>64.499999999999986</v>
          </cell>
          <cell r="U151" t="str">
            <v>Old</v>
          </cell>
          <cell r="X151">
            <v>44.5</v>
          </cell>
          <cell r="Y151">
            <v>0.97589999999999999</v>
          </cell>
          <cell r="Z151">
            <v>-5.0784893266510025</v>
          </cell>
          <cell r="AA151">
            <v>-4.6604900000000002</v>
          </cell>
          <cell r="AB151">
            <v>-4.6611251719232936</v>
          </cell>
          <cell r="AC151" t="str">
            <v>AS-11,100/AS-10,93</v>
          </cell>
          <cell r="AE151">
            <v>32.24</v>
          </cell>
          <cell r="AF151" t="str">
            <v>16/20</v>
          </cell>
          <cell r="AG151">
            <v>21.5</v>
          </cell>
          <cell r="AH151">
            <v>45</v>
          </cell>
          <cell r="AI151">
            <v>420</v>
          </cell>
          <cell r="AJ151">
            <v>3803.1681833501857</v>
          </cell>
          <cell r="AK151">
            <v>2</v>
          </cell>
          <cell r="AL151" t="str">
            <v>1:-4.66049!72.17361</v>
          </cell>
          <cell r="AM151">
            <v>1</v>
          </cell>
          <cell r="AN151">
            <v>-4.6604900000000002</v>
          </cell>
          <cell r="AO151">
            <v>25.176366308352872</v>
          </cell>
          <cell r="AP151">
            <v>72.173609999999996</v>
          </cell>
          <cell r="AQ151">
            <v>64.499999999999986</v>
          </cell>
          <cell r="AR151">
            <v>3.2796629390591416</v>
          </cell>
          <cell r="AS151">
            <v>0.84160418929251168</v>
          </cell>
          <cell r="AT151">
            <v>0</v>
          </cell>
          <cell r="AU151" t="str">
            <v/>
          </cell>
          <cell r="AV151">
            <v>0</v>
          </cell>
          <cell r="AW151" t="str">
            <v>Prefrac  kh estimate acceptable</v>
          </cell>
          <cell r="AY151">
            <v>72.173609999999996</v>
          </cell>
        </row>
        <row r="152">
          <cell r="C152" t="str">
            <v>Priobskoe RB!8476</v>
          </cell>
          <cell r="E152" t="str">
            <v>8476</v>
          </cell>
          <cell r="F152">
            <v>2474.5</v>
          </cell>
          <cell r="G152">
            <v>36881</v>
          </cell>
          <cell r="H152">
            <v>248</v>
          </cell>
          <cell r="I152">
            <v>121.34668000000001</v>
          </cell>
          <cell r="J152" t="str">
            <v/>
          </cell>
          <cell r="M152" t="str">
            <v/>
          </cell>
          <cell r="O152" t="str">
            <v/>
          </cell>
          <cell r="P152">
            <v>0</v>
          </cell>
          <cell r="Q152">
            <v>0.2475539071672819</v>
          </cell>
          <cell r="R152" t="str">
            <v/>
          </cell>
          <cell r="S152">
            <v>0.2475539071672819</v>
          </cell>
          <cell r="T152">
            <v>58.000000000000014</v>
          </cell>
          <cell r="U152" t="str">
            <v>Old</v>
          </cell>
          <cell r="W152" t="str">
            <v>1 data point</v>
          </cell>
          <cell r="X152">
            <v>5</v>
          </cell>
          <cell r="Y152">
            <v>0.92420000000000002</v>
          </cell>
          <cell r="Z152">
            <v>-5.179209688124633</v>
          </cell>
          <cell r="AA152">
            <v>-4.48611</v>
          </cell>
          <cell r="AB152">
            <v>-4.4646917399707284</v>
          </cell>
          <cell r="AC152" t="str">
            <v>AS-11,99/AS-10,100</v>
          </cell>
          <cell r="AE152">
            <v>25.54</v>
          </cell>
          <cell r="AF152" t="str">
            <v>16/20C</v>
          </cell>
          <cell r="AG152">
            <v>11.6</v>
          </cell>
          <cell r="AH152">
            <v>36.299999999999997</v>
          </cell>
          <cell r="AI152">
            <v>600</v>
          </cell>
          <cell r="AJ152">
            <v>9889.166986754557</v>
          </cell>
          <cell r="AK152">
            <v>2</v>
          </cell>
          <cell r="AL152" t="str">
            <v>1:-4.48611!43.99195</v>
          </cell>
          <cell r="AM152">
            <v>1</v>
          </cell>
          <cell r="AN152">
            <v>-4.48611</v>
          </cell>
          <cell r="AO152">
            <v>71.835292008644601</v>
          </cell>
          <cell r="AP152">
            <v>43.991950000000003</v>
          </cell>
          <cell r="AQ152">
            <v>58.000000000000014</v>
          </cell>
          <cell r="AR152">
            <v>2.0732876748498508</v>
          </cell>
          <cell r="AS152" t="str">
            <v/>
          </cell>
          <cell r="AT152">
            <v>0</v>
          </cell>
          <cell r="AU152" t="str">
            <v/>
          </cell>
          <cell r="AV152">
            <v>0</v>
          </cell>
          <cell r="AW152" t="str">
            <v>Prefrac  kh estimate acceptable</v>
          </cell>
          <cell r="AY152">
            <v>58.000000000000014</v>
          </cell>
        </row>
        <row r="153">
          <cell r="C153" t="str">
            <v>Priobskoe RB!8477</v>
          </cell>
          <cell r="E153" t="str">
            <v>8477</v>
          </cell>
          <cell r="F153">
            <v>2452.5</v>
          </cell>
          <cell r="G153">
            <v>36769</v>
          </cell>
          <cell r="H153">
            <v>250</v>
          </cell>
          <cell r="I153">
            <v>121.34668000000001</v>
          </cell>
          <cell r="J153" t="str">
            <v/>
          </cell>
          <cell r="M153" t="str">
            <v/>
          </cell>
          <cell r="O153" t="str">
            <v/>
          </cell>
          <cell r="P153">
            <v>0</v>
          </cell>
          <cell r="Q153">
            <v>0.22826177509148682</v>
          </cell>
          <cell r="R153" t="str">
            <v/>
          </cell>
          <cell r="S153">
            <v>0.22826177509148682</v>
          </cell>
          <cell r="T153">
            <v>53.48</v>
          </cell>
          <cell r="U153" t="str">
            <v>Old</v>
          </cell>
          <cell r="X153">
            <v>36.5</v>
          </cell>
          <cell r="Y153">
            <v>0.69589999999999996</v>
          </cell>
          <cell r="Z153">
            <v>-4.7536920813881096</v>
          </cell>
          <cell r="AA153">
            <v>-4.0788599999999997</v>
          </cell>
          <cell r="AB153">
            <v>-5.0552995109866004</v>
          </cell>
          <cell r="AC153" t="str">
            <v>AS-12,99/AS-12,100/AS-11,99</v>
          </cell>
          <cell r="AE153">
            <v>39.17</v>
          </cell>
          <cell r="AF153" t="str">
            <v>16/30</v>
          </cell>
          <cell r="AG153">
            <v>38.200000000000003</v>
          </cell>
          <cell r="AH153">
            <v>77.5</v>
          </cell>
          <cell r="AI153">
            <v>420</v>
          </cell>
          <cell r="AJ153">
            <v>2307.3492286115011</v>
          </cell>
          <cell r="AK153">
            <v>3</v>
          </cell>
          <cell r="AL153" t="str">
            <v>0.05170:-4.07886!53.48000</v>
          </cell>
          <cell r="AM153">
            <v>5.1700000000000003E-2</v>
          </cell>
          <cell r="AN153">
            <v>-4.0788599999999997</v>
          </cell>
          <cell r="AO153">
            <v>1.0994465909605036</v>
          </cell>
          <cell r="AP153">
            <v>53.48</v>
          </cell>
          <cell r="AQ153">
            <v>53.48</v>
          </cell>
          <cell r="AR153">
            <v>2.3618052385447328</v>
          </cell>
          <cell r="AS153" t="str">
            <v/>
          </cell>
          <cell r="AT153">
            <v>0</v>
          </cell>
          <cell r="AU153" t="str">
            <v/>
          </cell>
          <cell r="AV153">
            <v>1</v>
          </cell>
          <cell r="AW153" t="str">
            <v>PROBLEM FRAC possible? KH prefrac Estimate is at least 50% higher than for a perfect frac</v>
          </cell>
          <cell r="AY153">
            <v>53.48</v>
          </cell>
        </row>
        <row r="154">
          <cell r="C154" t="str">
            <v>Priobskoe RB!8478</v>
          </cell>
          <cell r="E154" t="str">
            <v>8478</v>
          </cell>
          <cell r="F154">
            <v>2635.05</v>
          </cell>
          <cell r="G154">
            <v>36824</v>
          </cell>
          <cell r="H154">
            <v>255</v>
          </cell>
          <cell r="I154">
            <v>121.34668000000001</v>
          </cell>
          <cell r="J154">
            <v>45.27</v>
          </cell>
          <cell r="K154">
            <v>50.3</v>
          </cell>
          <cell r="L154">
            <v>0</v>
          </cell>
          <cell r="M154">
            <v>100</v>
          </cell>
          <cell r="N154">
            <v>1330</v>
          </cell>
          <cell r="O154">
            <v>130.4545</v>
          </cell>
          <cell r="P154">
            <v>0</v>
          </cell>
          <cell r="R154">
            <v>0.40386846574143581</v>
          </cell>
          <cell r="S154">
            <v>0.40386846574143581</v>
          </cell>
          <cell r="T154">
            <v>94.623313689710855</v>
          </cell>
          <cell r="U154" t="str">
            <v>Old</v>
          </cell>
          <cell r="X154">
            <v>25.75</v>
          </cell>
          <cell r="Y154">
            <v>1.2958000000000001</v>
          </cell>
          <cell r="Z154">
            <v>-4.8692427163750036</v>
          </cell>
          <cell r="AA154">
            <v>-4.7892200000000003</v>
          </cell>
          <cell r="AB154">
            <v>-4.9435727739586834</v>
          </cell>
          <cell r="AC154" t="str">
            <v>AS-12,100/AS-11,100/AS-10,100</v>
          </cell>
          <cell r="AE154">
            <v>35.409999999999997</v>
          </cell>
          <cell r="AF154" t="str">
            <v>16/30</v>
          </cell>
          <cell r="AG154">
            <v>13.3</v>
          </cell>
          <cell r="AH154">
            <v>70.8</v>
          </cell>
          <cell r="AI154">
            <v>420</v>
          </cell>
          <cell r="AJ154">
            <v>4291.8298879106378</v>
          </cell>
          <cell r="AK154">
            <v>3</v>
          </cell>
          <cell r="AL154" t="str">
            <v>0.40186:-4.78922!94.62331</v>
          </cell>
          <cell r="AM154">
            <v>0.40185999999999999</v>
          </cell>
          <cell r="AN154">
            <v>-4.7892200000000003</v>
          </cell>
          <cell r="AO154">
            <v>3.42402973131483</v>
          </cell>
          <cell r="AP154">
            <v>94.623310000000004</v>
          </cell>
          <cell r="AQ154">
            <v>94.623313689710855</v>
          </cell>
          <cell r="AR154">
            <v>3.0960983362602423</v>
          </cell>
          <cell r="AS154" t="str">
            <v/>
          </cell>
          <cell r="AT154">
            <v>0</v>
          </cell>
          <cell r="AU154" t="str">
            <v/>
          </cell>
          <cell r="AV154">
            <v>0</v>
          </cell>
          <cell r="AW154" t="str">
            <v>Proppant Pack damage=40%</v>
          </cell>
          <cell r="AY154">
            <v>94.623313689710855</v>
          </cell>
        </row>
        <row r="155">
          <cell r="C155" t="str">
            <v>Priobskoe RB!8479</v>
          </cell>
          <cell r="E155" t="str">
            <v>8479</v>
          </cell>
          <cell r="F155">
            <v>2403.1999999999998</v>
          </cell>
          <cell r="G155">
            <v>36779</v>
          </cell>
          <cell r="H155">
            <v>260</v>
          </cell>
          <cell r="I155">
            <v>121.34668000000001</v>
          </cell>
          <cell r="J155" t="str">
            <v/>
          </cell>
          <cell r="M155" t="str">
            <v/>
          </cell>
          <cell r="O155" t="str">
            <v/>
          </cell>
          <cell r="P155">
            <v>0</v>
          </cell>
          <cell r="Q155">
            <v>0.26676067582681234</v>
          </cell>
          <cell r="R155" t="str">
            <v/>
          </cell>
          <cell r="S155">
            <v>0.26676067582681234</v>
          </cell>
          <cell r="T155">
            <v>62.499999999999993</v>
          </cell>
          <cell r="U155" t="str">
            <v>Old</v>
          </cell>
          <cell r="X155">
            <v>30</v>
          </cell>
          <cell r="Y155">
            <v>0.81730000000000003</v>
          </cell>
          <cell r="Z155">
            <v>-4.7651297075576373</v>
          </cell>
          <cell r="AA155">
            <v>-5.1118600000000001</v>
          </cell>
          <cell r="AB155">
            <v>-5.0457379799917081</v>
          </cell>
          <cell r="AC155" t="str">
            <v>AC-11,99/AC-10,95</v>
          </cell>
          <cell r="AE155">
            <v>24.669</v>
          </cell>
          <cell r="AF155" t="str">
            <v>16/20</v>
          </cell>
          <cell r="AG155">
            <v>12.5</v>
          </cell>
          <cell r="AH155">
            <v>77.599999999999994</v>
          </cell>
          <cell r="AI155">
            <v>420</v>
          </cell>
          <cell r="AJ155">
            <v>2902.560510981622</v>
          </cell>
          <cell r="AK155">
            <v>2</v>
          </cell>
          <cell r="AL155" t="str">
            <v>1:-5.11186!44.28355</v>
          </cell>
          <cell r="AM155">
            <v>1</v>
          </cell>
          <cell r="AN155">
            <v>-5.1118600000000001</v>
          </cell>
          <cell r="AO155">
            <v>10.558133408499016</v>
          </cell>
          <cell r="AP155">
            <v>44.283549999999998</v>
          </cell>
          <cell r="AQ155">
            <v>62.499999999999993</v>
          </cell>
          <cell r="AR155">
            <v>2.5544071234090415</v>
          </cell>
          <cell r="AS155" t="str">
            <v/>
          </cell>
          <cell r="AT155">
            <v>0</v>
          </cell>
          <cell r="AU155" t="str">
            <v/>
          </cell>
          <cell r="AV155">
            <v>0</v>
          </cell>
          <cell r="AW155" t="str">
            <v>Prefrac  kh estimate acceptable</v>
          </cell>
          <cell r="AY155">
            <v>62.499999999999993</v>
          </cell>
        </row>
        <row r="156">
          <cell r="C156" t="str">
            <v>Priobskoe RB!8480</v>
          </cell>
          <cell r="E156" t="str">
            <v>8480</v>
          </cell>
          <cell r="F156">
            <v>2414</v>
          </cell>
          <cell r="G156">
            <v>36814</v>
          </cell>
          <cell r="H156">
            <v>240</v>
          </cell>
          <cell r="I156">
            <v>121.34668000000001</v>
          </cell>
          <cell r="J156">
            <v>51.66</v>
          </cell>
          <cell r="K156">
            <v>57.4</v>
          </cell>
          <cell r="L156">
            <v>0</v>
          </cell>
          <cell r="M156">
            <v>100</v>
          </cell>
          <cell r="N156">
            <v>1893</v>
          </cell>
          <cell r="O156">
            <v>59.89</v>
          </cell>
          <cell r="P156">
            <v>0</v>
          </cell>
          <cell r="R156">
            <v>0.34520784782404068</v>
          </cell>
          <cell r="S156">
            <v>0.34520784782404068</v>
          </cell>
          <cell r="T156">
            <v>80.879576504783969</v>
          </cell>
          <cell r="U156" t="str">
            <v>Old</v>
          </cell>
          <cell r="X156">
            <v>27</v>
          </cell>
          <cell r="Y156">
            <v>1.52</v>
          </cell>
          <cell r="Z156">
            <v>-5.4674564063721203</v>
          </cell>
          <cell r="AA156">
            <v>-4.84762</v>
          </cell>
          <cell r="AB156">
            <v>-4.8382637592561109</v>
          </cell>
          <cell r="AC156" t="str">
            <v>AS-11,64/AS-10,100</v>
          </cell>
          <cell r="AE156">
            <v>21.18</v>
          </cell>
          <cell r="AF156" t="str">
            <v>16/30</v>
          </cell>
          <cell r="AG156">
            <v>12</v>
          </cell>
          <cell r="AH156">
            <v>69.3</v>
          </cell>
          <cell r="AI156">
            <v>420</v>
          </cell>
          <cell r="AJ156">
            <v>2906.7852437417655</v>
          </cell>
          <cell r="AK156">
            <v>2</v>
          </cell>
          <cell r="AL156" t="str">
            <v>1:-4.84762!112.08354</v>
          </cell>
          <cell r="AM156">
            <v>1</v>
          </cell>
          <cell r="AN156">
            <v>-4.84762</v>
          </cell>
          <cell r="AO156">
            <v>4.4907524882401137</v>
          </cell>
          <cell r="AP156">
            <v>112.08354</v>
          </cell>
          <cell r="AQ156">
            <v>80.879576504783969</v>
          </cell>
          <cell r="AR156">
            <v>4.4031409054465689</v>
          </cell>
          <cell r="AS156">
            <v>2.7292214304952731</v>
          </cell>
          <cell r="AT156">
            <v>0</v>
          </cell>
          <cell r="AU156" t="str">
            <v/>
          </cell>
          <cell r="AV156">
            <v>0</v>
          </cell>
          <cell r="AW156" t="str">
            <v>Slight DAMMAGED formation S =2.7</v>
          </cell>
          <cell r="AY156">
            <v>112.08354</v>
          </cell>
        </row>
        <row r="157">
          <cell r="C157" t="str">
            <v>Priobskoe RB!8510</v>
          </cell>
          <cell r="E157" t="str">
            <v>8510</v>
          </cell>
          <cell r="F157">
            <v>2564.4</v>
          </cell>
          <cell r="G157">
            <v>36742</v>
          </cell>
          <cell r="H157">
            <v>260.37530479999998</v>
          </cell>
          <cell r="I157">
            <v>121.34668000000001</v>
          </cell>
          <cell r="J157">
            <v>75.690000000000012</v>
          </cell>
          <cell r="K157">
            <v>84.1</v>
          </cell>
          <cell r="L157">
            <v>0</v>
          </cell>
          <cell r="M157">
            <v>100</v>
          </cell>
          <cell r="N157">
            <v>1581</v>
          </cell>
          <cell r="O157">
            <v>101.506</v>
          </cell>
          <cell r="P157">
            <v>0</v>
          </cell>
          <cell r="R157">
            <v>0.53421411950723996</v>
          </cell>
          <cell r="S157">
            <v>0.53421411950723996</v>
          </cell>
          <cell r="T157">
            <v>125.162310245754</v>
          </cell>
          <cell r="U157" t="str">
            <v>Old</v>
          </cell>
          <cell r="X157">
            <v>14.5</v>
          </cell>
          <cell r="Y157">
            <v>2.4826999999999999</v>
          </cell>
          <cell r="Z157">
            <v>-5.5518905909331044</v>
          </cell>
          <cell r="AA157">
            <v>-4.8304799999999997</v>
          </cell>
          <cell r="AB157">
            <v>-4.8502466044780261</v>
          </cell>
          <cell r="AC157" t="str">
            <v>AS-12,100/AS - 11,100</v>
          </cell>
          <cell r="AE157">
            <v>42.51</v>
          </cell>
          <cell r="AF157" t="str">
            <v>16/20</v>
          </cell>
          <cell r="AG157">
            <v>14.2</v>
          </cell>
          <cell r="AH157">
            <v>61</v>
          </cell>
          <cell r="AI157">
            <v>420</v>
          </cell>
          <cell r="AJ157">
            <v>5601.113810446428</v>
          </cell>
          <cell r="AK157">
            <v>2</v>
          </cell>
          <cell r="AL157" t="str">
            <v>1:-4.83048!177.50748</v>
          </cell>
          <cell r="AM157">
            <v>1</v>
          </cell>
          <cell r="AN157">
            <v>-4.8304799999999997</v>
          </cell>
          <cell r="AO157">
            <v>7.3454134881618938</v>
          </cell>
          <cell r="AP157">
            <v>177.50747999999999</v>
          </cell>
          <cell r="AQ157">
            <v>125.162310245754</v>
          </cell>
          <cell r="AR157">
            <v>4.4716944023391614</v>
          </cell>
          <cell r="AS157">
            <v>2.9584955611681911</v>
          </cell>
          <cell r="AT157">
            <v>0</v>
          </cell>
          <cell r="AU157" t="str">
            <v/>
          </cell>
          <cell r="AV157">
            <v>0</v>
          </cell>
          <cell r="AW157" t="str">
            <v>Slight DAMMAGED formation S =3.0</v>
          </cell>
          <cell r="AY157">
            <v>177.50747999999999</v>
          </cell>
        </row>
        <row r="158">
          <cell r="C158" t="str">
            <v>Priobskoe RB!8511</v>
          </cell>
          <cell r="E158" t="str">
            <v>8511</v>
          </cell>
          <cell r="F158">
            <v>2510.1</v>
          </cell>
          <cell r="G158">
            <v>36607</v>
          </cell>
          <cell r="H158">
            <v>256.24543879999999</v>
          </cell>
          <cell r="I158">
            <v>121.34668000000001</v>
          </cell>
          <cell r="J158">
            <v>119.7</v>
          </cell>
          <cell r="K158">
            <v>133</v>
          </cell>
          <cell r="L158">
            <v>0</v>
          </cell>
          <cell r="M158">
            <v>100</v>
          </cell>
          <cell r="N158">
            <v>1620</v>
          </cell>
          <cell r="O158">
            <v>93.108999999999995</v>
          </cell>
          <cell r="P158">
            <v>0</v>
          </cell>
          <cell r="R158">
            <v>0.83012930792531114</v>
          </cell>
          <cell r="S158">
            <v>0.83012930792531114</v>
          </cell>
          <cell r="T158">
            <v>194.49299108469694</v>
          </cell>
          <cell r="U158" t="str">
            <v>Old</v>
          </cell>
          <cell r="X158">
            <v>34.799999999999997</v>
          </cell>
          <cell r="Y158">
            <v>1.02</v>
          </cell>
          <cell r="Z158">
            <v>-1.316817658675955</v>
          </cell>
          <cell r="AA158">
            <v>0</v>
          </cell>
          <cell r="AB158">
            <v>-5.1484211176032613</v>
          </cell>
          <cell r="AC158" t="str">
            <v>AC-12,100/AC-11,100/AC-10,100</v>
          </cell>
          <cell r="AE158">
            <v>48.606000000000002</v>
          </cell>
          <cell r="AF158" t="str">
            <v>16/30</v>
          </cell>
          <cell r="AG158">
            <v>6.2</v>
          </cell>
          <cell r="AH158">
            <v>81.2</v>
          </cell>
          <cell r="AI158">
            <v>420</v>
          </cell>
          <cell r="AJ158">
            <v>11019.036852541471</v>
          </cell>
          <cell r="AK158">
            <v>2</v>
          </cell>
          <cell r="AL158" t="str">
            <v>0.00000:0.00000!194.49299</v>
          </cell>
          <cell r="AM158">
            <v>0</v>
          </cell>
          <cell r="AN158">
            <v>0</v>
          </cell>
          <cell r="AO158">
            <v>0</v>
          </cell>
          <cell r="AP158">
            <v>194.49298999999999</v>
          </cell>
          <cell r="AQ158">
            <v>194.49299108469694</v>
          </cell>
          <cell r="AR158">
            <v>1</v>
          </cell>
          <cell r="AS158" t="str">
            <v/>
          </cell>
          <cell r="AT158">
            <v>0</v>
          </cell>
          <cell r="AU158" t="str">
            <v/>
          </cell>
          <cell r="AV158">
            <v>0</v>
          </cell>
          <cell r="AW158" t="str">
            <v>Proppant Pack damage=0%</v>
          </cell>
          <cell r="AY158">
            <v>194.49299108469694</v>
          </cell>
        </row>
        <row r="159">
          <cell r="C159" t="str">
            <v>Priobskoe RB!8512</v>
          </cell>
          <cell r="E159" t="str">
            <v>8512</v>
          </cell>
          <cell r="F159">
            <v>2639.8</v>
          </cell>
          <cell r="G159">
            <v>36877</v>
          </cell>
          <cell r="H159">
            <v>218</v>
          </cell>
          <cell r="I159">
            <v>121.34668000000001</v>
          </cell>
          <cell r="J159" t="str">
            <v/>
          </cell>
          <cell r="M159" t="str">
            <v/>
          </cell>
          <cell r="O159" t="str">
            <v/>
          </cell>
          <cell r="P159">
            <v>0</v>
          </cell>
          <cell r="Q159">
            <v>0.33291732343186187</v>
          </cell>
          <cell r="R159" t="str">
            <v/>
          </cell>
          <cell r="S159">
            <v>0.33291732343186187</v>
          </cell>
          <cell r="T159">
            <v>78.000000000000014</v>
          </cell>
          <cell r="U159" t="str">
            <v>Old</v>
          </cell>
          <cell r="W159" t="str">
            <v>2 data points</v>
          </cell>
          <cell r="X159">
            <v>9</v>
          </cell>
          <cell r="Y159">
            <v>1.3</v>
          </cell>
          <cell r="Z159">
            <v>-5.2624518079577403</v>
          </cell>
          <cell r="AA159">
            <v>-5.0423600000000004</v>
          </cell>
          <cell r="AB159">
            <v>-4.761959508545651</v>
          </cell>
          <cell r="AC159" t="str">
            <v>AC-12,100/AS11,100</v>
          </cell>
          <cell r="AE159">
            <v>33.14</v>
          </cell>
          <cell r="AF159" t="str">
            <v>20/40</v>
          </cell>
          <cell r="AG159">
            <v>15.6</v>
          </cell>
          <cell r="AH159">
            <v>75</v>
          </cell>
          <cell r="AI159">
            <v>250</v>
          </cell>
          <cell r="AJ159">
            <v>1924.2382014121147</v>
          </cell>
          <cell r="AK159">
            <v>2</v>
          </cell>
          <cell r="AL159" t="str">
            <v>1:-5.04236!50.03125</v>
          </cell>
          <cell r="AM159">
            <v>1</v>
          </cell>
          <cell r="AN159">
            <v>-5.0423600000000004</v>
          </cell>
          <cell r="AO159">
            <v>7.9998310234847185</v>
          </cell>
          <cell r="AP159">
            <v>50.03125</v>
          </cell>
          <cell r="AQ159">
            <v>78.000000000000014</v>
          </cell>
          <cell r="AR159">
            <v>2.2333564377355977</v>
          </cell>
          <cell r="AS159" t="str">
            <v/>
          </cell>
          <cell r="AT159">
            <v>0</v>
          </cell>
          <cell r="AU159" t="str">
            <v/>
          </cell>
          <cell r="AV159">
            <v>0</v>
          </cell>
          <cell r="AW159" t="str">
            <v>Prefrac  kh estimate acceptable</v>
          </cell>
          <cell r="AY159">
            <v>78.000000000000014</v>
          </cell>
        </row>
        <row r="160">
          <cell r="C160" t="str">
            <v>Priobskoe RB!8513</v>
          </cell>
          <cell r="E160" t="str">
            <v>8513</v>
          </cell>
          <cell r="F160">
            <v>2545.0500000000002</v>
          </cell>
          <cell r="G160">
            <v>36610</v>
          </cell>
          <cell r="H160">
            <v>253.14549</v>
          </cell>
          <cell r="I160">
            <v>121.34668000000001</v>
          </cell>
          <cell r="J160" t="str">
            <v/>
          </cell>
          <cell r="M160" t="str">
            <v/>
          </cell>
          <cell r="O160" t="str">
            <v/>
          </cell>
          <cell r="P160">
            <v>0</v>
          </cell>
          <cell r="Q160">
            <v>0.12804512439686994</v>
          </cell>
          <cell r="R160" t="str">
            <v/>
          </cell>
          <cell r="S160">
            <v>0.12804512439686994</v>
          </cell>
          <cell r="T160">
            <v>30</v>
          </cell>
          <cell r="U160" t="str">
            <v>Old</v>
          </cell>
          <cell r="X160">
            <v>31</v>
          </cell>
          <cell r="Y160">
            <v>0.60680000000000001</v>
          </cell>
          <cell r="Z160">
            <v>-5.5813019412299312</v>
          </cell>
          <cell r="AA160">
            <v>-4.4467999999999996</v>
          </cell>
          <cell r="AB160">
            <v>-4.4434378073582401</v>
          </cell>
          <cell r="AC160" t="str">
            <v>AC-12,99/AC-10,100</v>
          </cell>
          <cell r="AE160">
            <v>37.023000000000003</v>
          </cell>
          <cell r="AF160" t="str">
            <v>16/30</v>
          </cell>
          <cell r="AG160">
            <v>10</v>
          </cell>
          <cell r="AH160">
            <v>34.9</v>
          </cell>
          <cell r="AI160">
            <v>420</v>
          </cell>
          <cell r="AJ160">
            <v>12107.30970474648</v>
          </cell>
          <cell r="AK160">
            <v>2</v>
          </cell>
          <cell r="AL160" t="str">
            <v>1:-4.44680!49.37193</v>
          </cell>
          <cell r="AM160">
            <v>1</v>
          </cell>
          <cell r="AN160">
            <v>-4.4467999999999996</v>
          </cell>
          <cell r="AO160">
            <v>70.265496647098516</v>
          </cell>
          <cell r="AP160">
            <v>49.371929999999999</v>
          </cell>
          <cell r="AQ160">
            <v>30</v>
          </cell>
          <cell r="AR160">
            <v>4.4312473089256272</v>
          </cell>
          <cell r="AS160">
            <v>4.5679308046362452</v>
          </cell>
          <cell r="AT160">
            <v>0</v>
          </cell>
          <cell r="AU160" t="str">
            <v/>
          </cell>
          <cell r="AV160">
            <v>0</v>
          </cell>
          <cell r="AW160" t="str">
            <v>Prefrac kh estimate too low by 165%</v>
          </cell>
          <cell r="AY160">
            <v>49.371929999999999</v>
          </cell>
        </row>
        <row r="161">
          <cell r="C161" t="str">
            <v>Priobskoe RB!8514</v>
          </cell>
          <cell r="E161" t="str">
            <v>8514</v>
          </cell>
          <cell r="F161">
            <v>2653.3</v>
          </cell>
          <cell r="G161">
            <v>36799</v>
          </cell>
          <cell r="H161">
            <v>255</v>
          </cell>
          <cell r="I161">
            <v>121.34668000000001</v>
          </cell>
          <cell r="J161" t="str">
            <v/>
          </cell>
          <cell r="M161" t="str">
            <v/>
          </cell>
          <cell r="O161" t="str">
            <v/>
          </cell>
          <cell r="P161">
            <v>0</v>
          </cell>
          <cell r="Q161">
            <v>0.21340854066144987</v>
          </cell>
          <cell r="R161" t="str">
            <v/>
          </cell>
          <cell r="S161">
            <v>0.21340854066144987</v>
          </cell>
          <cell r="T161">
            <v>50</v>
          </cell>
          <cell r="U161" t="str">
            <v>Old</v>
          </cell>
          <cell r="X161">
            <v>30</v>
          </cell>
          <cell r="Y161">
            <v>1.0264</v>
          </cell>
          <cell r="Z161">
            <v>-5.6032141365881776</v>
          </cell>
          <cell r="AA161">
            <v>-5.1553000000000004</v>
          </cell>
          <cell r="AB161">
            <v>-5.1628004815538029</v>
          </cell>
          <cell r="AC161" t="str">
            <v>AC-12,100/AC-11,99/AS-10,100</v>
          </cell>
          <cell r="AE161">
            <v>32.884999999999998</v>
          </cell>
          <cell r="AF161" t="str">
            <v>16/20</v>
          </cell>
          <cell r="AG161">
            <v>12.5</v>
          </cell>
          <cell r="AH161">
            <v>82.5</v>
          </cell>
          <cell r="AI161">
            <v>420</v>
          </cell>
          <cell r="AJ161">
            <v>3639.4466403162055</v>
          </cell>
          <cell r="AK161">
            <v>3</v>
          </cell>
          <cell r="AL161" t="str">
            <v>1:-5.15530!58.42363</v>
          </cell>
          <cell r="AM161">
            <v>1</v>
          </cell>
          <cell r="AN161">
            <v>-5.1553000000000004</v>
          </cell>
          <cell r="AO161">
            <v>9.4384979012570582</v>
          </cell>
          <cell r="AP161">
            <v>58.423630000000003</v>
          </cell>
          <cell r="AQ161">
            <v>50</v>
          </cell>
          <cell r="AR161">
            <v>4.3079328311598859</v>
          </cell>
          <cell r="AS161">
            <v>1.1917829239685878</v>
          </cell>
          <cell r="AT161">
            <v>0</v>
          </cell>
          <cell r="AU161" t="str">
            <v/>
          </cell>
          <cell r="AV161">
            <v>0</v>
          </cell>
          <cell r="AW161" t="str">
            <v>Prefrac  kh estimate acceptable</v>
          </cell>
          <cell r="AY161">
            <v>58.423630000000003</v>
          </cell>
        </row>
        <row r="162">
          <cell r="C162" t="str">
            <v>Priobskoe RB!8515</v>
          </cell>
          <cell r="E162" t="str">
            <v>8515</v>
          </cell>
          <cell r="F162">
            <v>2437.8000000000002</v>
          </cell>
          <cell r="G162">
            <v>36577</v>
          </cell>
          <cell r="H162">
            <v>254.1754072</v>
          </cell>
          <cell r="I162">
            <v>121.34668000000001</v>
          </cell>
          <cell r="J162" t="str">
            <v/>
          </cell>
          <cell r="M162" t="str">
            <v/>
          </cell>
          <cell r="O162" t="str">
            <v/>
          </cell>
          <cell r="P162">
            <v>0</v>
          </cell>
          <cell r="Q162">
            <v>0.17072683252915991</v>
          </cell>
          <cell r="R162" t="str">
            <v/>
          </cell>
          <cell r="S162">
            <v>0.17072683252915991</v>
          </cell>
          <cell r="T162">
            <v>40</v>
          </cell>
          <cell r="U162" t="str">
            <v>New</v>
          </cell>
          <cell r="X162">
            <v>49</v>
          </cell>
          <cell r="Y162">
            <v>0.74080000000000001</v>
          </cell>
          <cell r="Z162">
            <v>-5.4437416525962572</v>
          </cell>
          <cell r="AA162">
            <v>-5.2344799999999996</v>
          </cell>
          <cell r="AB162">
            <v>-5.159822667513458</v>
          </cell>
          <cell r="AC162" t="str">
            <v>AC-11,100/AC-10,100</v>
          </cell>
          <cell r="AE162">
            <v>35.799999999999997</v>
          </cell>
          <cell r="AF162" t="str">
            <v>16/30</v>
          </cell>
          <cell r="AG162">
            <v>8</v>
          </cell>
          <cell r="AH162">
            <v>87.3</v>
          </cell>
          <cell r="AI162">
            <v>420</v>
          </cell>
          <cell r="AJ162">
            <v>5850.3287016285658</v>
          </cell>
          <cell r="AK162">
            <v>2</v>
          </cell>
          <cell r="AL162" t="str">
            <v>1:-5.23448!45.13441</v>
          </cell>
          <cell r="AM162">
            <v>1</v>
          </cell>
          <cell r="AN162">
            <v>-5.2344799999999996</v>
          </cell>
          <cell r="AO162">
            <v>11.878134571747633</v>
          </cell>
          <cell r="AP162">
            <v>45.134410000000003</v>
          </cell>
          <cell r="AQ162">
            <v>40</v>
          </cell>
          <cell r="AR162">
            <v>4.3391062229975459</v>
          </cell>
          <cell r="AS162">
            <v>0.90802631446501714</v>
          </cell>
          <cell r="AT162">
            <v>0</v>
          </cell>
          <cell r="AU162" t="str">
            <v/>
          </cell>
          <cell r="AV162">
            <v>0</v>
          </cell>
          <cell r="AW162" t="str">
            <v>Prefrac  kh estimate acceptable</v>
          </cell>
          <cell r="AY162">
            <v>45.134410000000003</v>
          </cell>
        </row>
        <row r="163">
          <cell r="C163" t="str">
            <v>Priobskoe RB!8517</v>
          </cell>
          <cell r="E163" t="str">
            <v>8517</v>
          </cell>
          <cell r="F163">
            <v>2463.5500000000002</v>
          </cell>
          <cell r="G163">
            <v>36838</v>
          </cell>
          <cell r="H163">
            <v>240</v>
          </cell>
          <cell r="I163">
            <v>121.34668000000001</v>
          </cell>
          <cell r="J163">
            <v>71.55</v>
          </cell>
          <cell r="K163">
            <v>79.5</v>
          </cell>
          <cell r="L163">
            <v>0</v>
          </cell>
          <cell r="M163">
            <v>100</v>
          </cell>
          <cell r="N163">
            <v>1283</v>
          </cell>
          <cell r="O163">
            <v>119.24950000000001</v>
          </cell>
          <cell r="P163">
            <v>0</v>
          </cell>
          <cell r="R163">
            <v>0.65847021015559937</v>
          </cell>
          <cell r="S163">
            <v>0.65847021015559937</v>
          </cell>
          <cell r="T163">
            <v>154.27456842043466</v>
          </cell>
          <cell r="U163" t="str">
            <v>Old</v>
          </cell>
          <cell r="X163">
            <v>34</v>
          </cell>
          <cell r="Y163">
            <v>2.96</v>
          </cell>
          <cell r="Z163">
            <v>-5.5003809556471968</v>
          </cell>
          <cell r="AA163">
            <v>-4.56053</v>
          </cell>
          <cell r="AB163">
            <v>-4.6742560650388771</v>
          </cell>
          <cell r="AC163" t="str">
            <v>AS-12,94/AS-11,100/AS-10,100</v>
          </cell>
          <cell r="AE163">
            <v>35.659999999999997</v>
          </cell>
          <cell r="AF163" t="str">
            <v>16/20</v>
          </cell>
          <cell r="AG163">
            <v>9</v>
          </cell>
          <cell r="AH163">
            <v>45.6</v>
          </cell>
          <cell r="AI163">
            <v>420</v>
          </cell>
          <cell r="AJ163">
            <v>9916.8891431477223</v>
          </cell>
          <cell r="AK163">
            <v>3</v>
          </cell>
          <cell r="AL163" t="str">
            <v>1:-4.56053!246.41277</v>
          </cell>
          <cell r="AM163">
            <v>1</v>
          </cell>
          <cell r="AN163">
            <v>-4.56053</v>
          </cell>
          <cell r="AO163">
            <v>7.9430978838355273</v>
          </cell>
          <cell r="AP163">
            <v>246.41276999999999</v>
          </cell>
          <cell r="AQ163">
            <v>154.27456842043466</v>
          </cell>
          <cell r="AR163">
            <v>4.4952628881664127</v>
          </cell>
          <cell r="AS163">
            <v>4.2248692315580856</v>
          </cell>
          <cell r="AT163">
            <v>0</v>
          </cell>
          <cell r="AU163" t="str">
            <v/>
          </cell>
          <cell r="AV163">
            <v>0</v>
          </cell>
          <cell r="AW163" t="str">
            <v>DAMMAGED formation S =4.2</v>
          </cell>
          <cell r="AY163">
            <v>246.41276999999999</v>
          </cell>
        </row>
        <row r="164">
          <cell r="C164" t="str">
            <v>Priobskoe RB!8544</v>
          </cell>
          <cell r="E164" t="str">
            <v>8544</v>
          </cell>
          <cell r="F164">
            <v>2659.3</v>
          </cell>
          <cell r="G164">
            <v>36861</v>
          </cell>
          <cell r="H164">
            <v>252</v>
          </cell>
          <cell r="I164">
            <v>121.34668000000001</v>
          </cell>
          <cell r="J164" t="str">
            <v/>
          </cell>
          <cell r="K164" t="str">
            <v/>
          </cell>
          <cell r="L164" t="str">
            <v/>
          </cell>
          <cell r="M164" t="str">
            <v/>
          </cell>
          <cell r="N164" t="str">
            <v/>
          </cell>
          <cell r="O164" t="str">
            <v/>
          </cell>
          <cell r="P164">
            <v>0</v>
          </cell>
          <cell r="Q164">
            <v>7.511980631283037E-2</v>
          </cell>
          <cell r="R164" t="str">
            <v/>
          </cell>
          <cell r="S164">
            <v>7.511980631283037E-2</v>
          </cell>
          <cell r="T164">
            <v>17.600000000000001</v>
          </cell>
          <cell r="U164" t="str">
            <v>Old</v>
          </cell>
          <cell r="X164">
            <v>21.5</v>
          </cell>
          <cell r="Y164">
            <v>1.2</v>
          </cell>
          <cell r="Z164">
            <v>-6.6312118723699793</v>
          </cell>
          <cell r="AA164">
            <v>-4.9898199999999999</v>
          </cell>
          <cell r="AB164">
            <v>-5.0383119163661823</v>
          </cell>
          <cell r="AC164" t="str">
            <v>AC-12,100/AC-11,100/AC-10,100</v>
          </cell>
          <cell r="AE164">
            <v>39.180999999999997</v>
          </cell>
          <cell r="AF164" t="str">
            <v>16/20C</v>
          </cell>
          <cell r="AG164">
            <v>8.8000000000000007</v>
          </cell>
          <cell r="AH164">
            <v>64.400000000000006</v>
          </cell>
          <cell r="AI164">
            <v>600</v>
          </cell>
          <cell r="AJ164">
            <v>11272.244709449336</v>
          </cell>
          <cell r="AK164">
            <v>3</v>
          </cell>
          <cell r="AL164" t="str">
            <v>1:-4.98982!81.17895</v>
          </cell>
          <cell r="AM164">
            <v>1</v>
          </cell>
          <cell r="AN164">
            <v>-4.9898199999999999</v>
          </cell>
          <cell r="AO164">
            <v>18.974213518205893</v>
          </cell>
          <cell r="AP164">
            <v>81.17895</v>
          </cell>
          <cell r="AQ164">
            <v>17.600000000000001</v>
          </cell>
          <cell r="AR164">
            <v>15.655027345386266</v>
          </cell>
          <cell r="AS164">
            <v>25.554569183064295</v>
          </cell>
          <cell r="AT164">
            <v>0</v>
          </cell>
          <cell r="AU164" t="str">
            <v/>
          </cell>
          <cell r="AV164">
            <v>0</v>
          </cell>
          <cell r="AW164" t="str">
            <v>Prefrac kh estimate too low by 461%</v>
          </cell>
          <cell r="AY164">
            <v>81.17895</v>
          </cell>
        </row>
        <row r="165">
          <cell r="C165" t="str">
            <v>Priobskoe RB!8545</v>
          </cell>
          <cell r="E165" t="str">
            <v>8545</v>
          </cell>
          <cell r="F165">
            <v>2651.2</v>
          </cell>
          <cell r="G165">
            <v>36823</v>
          </cell>
          <cell r="H165">
            <v>255</v>
          </cell>
          <cell r="I165">
            <v>121.34668000000001</v>
          </cell>
          <cell r="J165">
            <v>42.480000000000004</v>
          </cell>
          <cell r="K165">
            <v>47.2</v>
          </cell>
          <cell r="L165">
            <v>0</v>
          </cell>
          <cell r="M165">
            <v>100</v>
          </cell>
          <cell r="N165">
            <v>1719</v>
          </cell>
          <cell r="O165">
            <v>96.897999999999982</v>
          </cell>
          <cell r="P165">
            <v>0</v>
          </cell>
          <cell r="R165">
            <v>0.30273346931420009</v>
          </cell>
          <cell r="S165">
            <v>0.30273346931420009</v>
          </cell>
          <cell r="T165">
            <v>70.928152260423062</v>
          </cell>
          <cell r="U165" t="str">
            <v>Old</v>
          </cell>
          <cell r="X165">
            <v>26.75</v>
          </cell>
          <cell r="Y165">
            <v>1.28</v>
          </cell>
          <cell r="Z165">
            <v>-5.4009596897978529</v>
          </cell>
          <cell r="AA165">
            <v>-4.9606000000000003</v>
          </cell>
          <cell r="AB165">
            <v>-4.9442097191855279</v>
          </cell>
          <cell r="AC165" t="str">
            <v>AS-12,100/AS-11,100/AS-10,100</v>
          </cell>
          <cell r="AE165">
            <v>40.130000000000003</v>
          </cell>
          <cell r="AF165" t="str">
            <v>16/30</v>
          </cell>
          <cell r="AG165">
            <v>10.7</v>
          </cell>
          <cell r="AH165">
            <v>65.2</v>
          </cell>
          <cell r="AI165">
            <v>420</v>
          </cell>
          <cell r="AJ165">
            <v>6565.0684419271938</v>
          </cell>
          <cell r="AK165">
            <v>3</v>
          </cell>
          <cell r="AL165" t="str">
            <v>1:-4.96060!89.59649</v>
          </cell>
          <cell r="AM165">
            <v>1</v>
          </cell>
          <cell r="AN165">
            <v>-4.9606000000000003</v>
          </cell>
          <cell r="AO165">
            <v>12.024982243826932</v>
          </cell>
          <cell r="AP165">
            <v>89.596490000000003</v>
          </cell>
          <cell r="AQ165">
            <v>70.928152260423062</v>
          </cell>
          <cell r="AR165">
            <v>4.2281372075539823</v>
          </cell>
          <cell r="AS165">
            <v>1.8618937038017309</v>
          </cell>
          <cell r="AT165">
            <v>0</v>
          </cell>
          <cell r="AU165" t="str">
            <v/>
          </cell>
          <cell r="AV165">
            <v>0</v>
          </cell>
          <cell r="AW165" t="str">
            <v>Slight DAMMAGED formation S =1.9</v>
          </cell>
          <cell r="AY165">
            <v>89.596490000000003</v>
          </cell>
        </row>
        <row r="166">
          <cell r="C166" t="str">
            <v>Priobskoe RB!8546</v>
          </cell>
          <cell r="E166" t="str">
            <v>8546</v>
          </cell>
          <cell r="F166">
            <v>2447.9499999999998</v>
          </cell>
          <cell r="G166">
            <v>36840</v>
          </cell>
          <cell r="H166">
            <v>245</v>
          </cell>
          <cell r="I166">
            <v>121.34668000000001</v>
          </cell>
          <cell r="J166">
            <v>149.85</v>
          </cell>
          <cell r="K166">
            <v>166.5</v>
          </cell>
          <cell r="L166">
            <v>0</v>
          </cell>
          <cell r="M166">
            <v>100</v>
          </cell>
          <cell r="N166">
            <v>1972</v>
          </cell>
          <cell r="O166">
            <v>55.835499999999982</v>
          </cell>
          <cell r="P166">
            <v>0</v>
          </cell>
          <cell r="R166">
            <v>0.95995482221008932</v>
          </cell>
          <cell r="S166">
            <v>0.95995482221008932</v>
          </cell>
          <cell r="T166">
            <v>224.91012291137781</v>
          </cell>
          <cell r="U166" t="str">
            <v>Old</v>
          </cell>
          <cell r="X166">
            <v>32</v>
          </cell>
          <cell r="Y166">
            <v>1.52</v>
          </cell>
          <cell r="Z166">
            <v>-2.6064377341079084</v>
          </cell>
          <cell r="AA166">
            <v>-2.6064699999999998</v>
          </cell>
          <cell r="AB166">
            <v>-4.8911925475682718</v>
          </cell>
          <cell r="AC166" t="str">
            <v>AS-12,21/AS-11,100/AS-10,100</v>
          </cell>
          <cell r="AE166">
            <v>29.407</v>
          </cell>
          <cell r="AF166" t="str">
            <v>16/20</v>
          </cell>
          <cell r="AG166">
            <v>10.9</v>
          </cell>
          <cell r="AH166">
            <v>58.9</v>
          </cell>
          <cell r="AI166">
            <v>420</v>
          </cell>
          <cell r="AJ166">
            <v>5227.6969138365039</v>
          </cell>
          <cell r="AK166">
            <v>3</v>
          </cell>
          <cell r="AL166" t="str">
            <v>0.04095:-2.60647!224.91012</v>
          </cell>
          <cell r="AM166">
            <v>4.095E-2</v>
          </cell>
          <cell r="AN166">
            <v>-2.6064699999999998</v>
          </cell>
          <cell r="AO166">
            <v>0.17614345575948148</v>
          </cell>
          <cell r="AP166">
            <v>224.91012000000001</v>
          </cell>
          <cell r="AQ166">
            <v>224.91012291137781</v>
          </cell>
          <cell r="AR166">
            <v>1.583419284566447</v>
          </cell>
          <cell r="AS166" t="str">
            <v/>
          </cell>
          <cell r="AT166">
            <v>0</v>
          </cell>
          <cell r="AU166" t="str">
            <v/>
          </cell>
          <cell r="AV166">
            <v>0</v>
          </cell>
          <cell r="AW166" t="str">
            <v>Proppant Pack damage=4%</v>
          </cell>
          <cell r="AY166">
            <v>224.91012291137781</v>
          </cell>
        </row>
        <row r="167">
          <cell r="C167" t="str">
            <v>Priobskoe RB!8547</v>
          </cell>
          <cell r="E167" t="str">
            <v>8547</v>
          </cell>
          <cell r="F167">
            <v>2642.15</v>
          </cell>
          <cell r="G167">
            <v>36821</v>
          </cell>
          <cell r="H167">
            <v>260</v>
          </cell>
          <cell r="I167">
            <v>121.34668000000001</v>
          </cell>
          <cell r="J167" t="str">
            <v/>
          </cell>
          <cell r="K167" t="str">
            <v/>
          </cell>
          <cell r="L167" t="str">
            <v/>
          </cell>
          <cell r="M167" t="str">
            <v/>
          </cell>
          <cell r="N167" t="str">
            <v/>
          </cell>
          <cell r="O167" t="str">
            <v/>
          </cell>
          <cell r="P167">
            <v>0</v>
          </cell>
          <cell r="Q167">
            <v>0.23048122391436587</v>
          </cell>
          <cell r="R167" t="str">
            <v/>
          </cell>
          <cell r="S167">
            <v>0.23048122391436587</v>
          </cell>
          <cell r="T167">
            <v>53.999999999999993</v>
          </cell>
          <cell r="U167" t="str">
            <v>Old</v>
          </cell>
          <cell r="X167">
            <v>28.75</v>
          </cell>
          <cell r="Y167">
            <v>1.78</v>
          </cell>
          <cell r="Z167">
            <v>-6.1580714138851143</v>
          </cell>
          <cell r="AA167">
            <v>-4.8860200000000003</v>
          </cell>
          <cell r="AB167">
            <v>-4.9157746850119999</v>
          </cell>
          <cell r="AC167" t="str">
            <v>AS-12,100/AS-11,98/AS-10,100</v>
          </cell>
          <cell r="AE167">
            <v>36.61</v>
          </cell>
          <cell r="AF167" t="str">
            <v>16/30</v>
          </cell>
          <cell r="AG167">
            <v>10.8</v>
          </cell>
          <cell r="AH167">
            <v>63.7</v>
          </cell>
          <cell r="AI167">
            <v>420</v>
          </cell>
          <cell r="AJ167">
            <v>6073.4856930509095</v>
          </cell>
          <cell r="AK167">
            <v>3</v>
          </cell>
          <cell r="AL167" t="str">
            <v>1:-4.88602!128.99203</v>
          </cell>
          <cell r="AM167">
            <v>1</v>
          </cell>
          <cell r="AN167">
            <v>-4.8860200000000003</v>
          </cell>
          <cell r="AO167">
            <v>7.9828773811330453</v>
          </cell>
          <cell r="AP167">
            <v>128.99203</v>
          </cell>
          <cell r="AQ167">
            <v>53.999999999999993</v>
          </cell>
          <cell r="AR167">
            <v>7.7229730150325704</v>
          </cell>
          <cell r="AS167">
            <v>9.8240198271762118</v>
          </cell>
          <cell r="AT167">
            <v>0</v>
          </cell>
          <cell r="AU167" t="str">
            <v/>
          </cell>
          <cell r="AV167">
            <v>0</v>
          </cell>
          <cell r="AW167" t="str">
            <v>Prefrac kh estimate too low by 239%</v>
          </cell>
          <cell r="AY167">
            <v>128.99203</v>
          </cell>
        </row>
        <row r="168">
          <cell r="C168" t="str">
            <v>Priobskoe RB!8548</v>
          </cell>
          <cell r="E168" t="str">
            <v>8548</v>
          </cell>
          <cell r="F168">
            <v>2456.0500000000002</v>
          </cell>
          <cell r="G168">
            <v>36859</v>
          </cell>
          <cell r="H168">
            <v>248</v>
          </cell>
          <cell r="I168">
            <v>121.34668000000001</v>
          </cell>
          <cell r="J168" t="str">
            <v/>
          </cell>
          <cell r="K168" t="str">
            <v/>
          </cell>
          <cell r="L168" t="str">
            <v/>
          </cell>
          <cell r="M168" t="str">
            <v/>
          </cell>
          <cell r="N168" t="str">
            <v/>
          </cell>
          <cell r="O168" t="str">
            <v/>
          </cell>
          <cell r="P168">
            <v>0</v>
          </cell>
          <cell r="Q168">
            <v>8.8351135833840258E-2</v>
          </cell>
          <cell r="R168" t="str">
            <v/>
          </cell>
          <cell r="S168">
            <v>8.8351135833840258E-2</v>
          </cell>
          <cell r="T168">
            <v>20.700000000000003</v>
          </cell>
          <cell r="U168" t="str">
            <v>Old</v>
          </cell>
          <cell r="X168">
            <v>23.5</v>
          </cell>
          <cell r="Y168">
            <v>1.85</v>
          </cell>
          <cell r="Z168">
            <v>-6.7362081730184542</v>
          </cell>
          <cell r="AA168">
            <v>-4.9175500000000003</v>
          </cell>
          <cell r="AB168">
            <v>-4.9972924236085108</v>
          </cell>
          <cell r="AC168" t="str">
            <v>AC-11,100/AC-10,100</v>
          </cell>
          <cell r="AE168">
            <v>39.707000000000001</v>
          </cell>
          <cell r="AF168" t="str">
            <v>16/20C</v>
          </cell>
          <cell r="AG168">
            <v>13.8</v>
          </cell>
          <cell r="AH168">
            <v>61.8</v>
          </cell>
          <cell r="AI168">
            <v>600</v>
          </cell>
          <cell r="AJ168">
            <v>7591.0691235218183</v>
          </cell>
          <cell r="AK168">
            <v>2</v>
          </cell>
          <cell r="AL168" t="str">
            <v>1:-4.91755!132.13262</v>
          </cell>
          <cell r="AM168">
            <v>1</v>
          </cell>
          <cell r="AN168">
            <v>-4.9175500000000003</v>
          </cell>
          <cell r="AO168">
            <v>12.828725452143802</v>
          </cell>
          <cell r="AP168">
            <v>132.13262</v>
          </cell>
          <cell r="AQ168">
            <v>20.700000000000003</v>
          </cell>
          <cell r="AR168">
            <v>20.939143931122821</v>
          </cell>
          <cell r="AS168">
            <v>38.081134347355793</v>
          </cell>
          <cell r="AT168">
            <v>0</v>
          </cell>
          <cell r="AU168" t="str">
            <v/>
          </cell>
          <cell r="AV168">
            <v>0</v>
          </cell>
          <cell r="AW168" t="str">
            <v>Prefrac kh estimate too low by 638%</v>
          </cell>
          <cell r="AY168">
            <v>132.13262</v>
          </cell>
        </row>
        <row r="169">
          <cell r="C169" t="str">
            <v>Priobskoe RB!8701</v>
          </cell>
          <cell r="E169" t="str">
            <v>8701</v>
          </cell>
          <cell r="F169">
            <v>2405</v>
          </cell>
          <cell r="G169">
            <v>36584</v>
          </cell>
          <cell r="H169">
            <v>254.1754072</v>
          </cell>
          <cell r="I169">
            <v>121.34668000000001</v>
          </cell>
          <cell r="J169">
            <v>166.95000000000002</v>
          </cell>
          <cell r="K169">
            <v>185.5</v>
          </cell>
          <cell r="L169">
            <v>0</v>
          </cell>
          <cell r="M169">
            <v>100</v>
          </cell>
          <cell r="N169">
            <v>1881</v>
          </cell>
          <cell r="O169">
            <v>60.16</v>
          </cell>
          <cell r="P169">
            <v>0</v>
          </cell>
          <cell r="R169">
            <v>1.0288218393857731</v>
          </cell>
          <cell r="S169">
            <v>1.0288218393857731</v>
          </cell>
          <cell r="T169">
            <v>241.04514191348372</v>
          </cell>
          <cell r="U169" t="str">
            <v>Old</v>
          </cell>
          <cell r="X169">
            <v>42</v>
          </cell>
          <cell r="Y169">
            <v>1.41</v>
          </cell>
          <cell r="Z169">
            <v>-1.9123913805096535</v>
          </cell>
          <cell r="AA169">
            <v>-1.91205</v>
          </cell>
          <cell r="AB169">
            <v>-5.1126608754097429</v>
          </cell>
          <cell r="AC169" t="str">
            <v>AC-12,100/AC-11,99/AC-10,100</v>
          </cell>
          <cell r="AE169">
            <v>37.799999999999997</v>
          </cell>
          <cell r="AF169" t="str">
            <v>16/30</v>
          </cell>
          <cell r="AG169">
            <v>7.2</v>
          </cell>
          <cell r="AH169">
            <v>79.5</v>
          </cell>
          <cell r="AI169">
            <v>420</v>
          </cell>
          <cell r="AJ169">
            <v>7536.9155045118932</v>
          </cell>
          <cell r="AK169">
            <v>3</v>
          </cell>
          <cell r="AL169" t="str">
            <v>0.02222:-1.91205!241.04514</v>
          </cell>
          <cell r="AM169">
            <v>2.222E-2</v>
          </cell>
          <cell r="AN169">
            <v>-1.91205</v>
          </cell>
          <cell r="AO169">
            <v>6.2922314526383874E-2</v>
          </cell>
          <cell r="AP169">
            <v>241.04514</v>
          </cell>
          <cell r="AQ169">
            <v>241.04514191348372</v>
          </cell>
          <cell r="AR169">
            <v>1.370409042544537</v>
          </cell>
          <cell r="AS169" t="str">
            <v/>
          </cell>
          <cell r="AT169">
            <v>0</v>
          </cell>
          <cell r="AU169" t="str">
            <v/>
          </cell>
          <cell r="AV169">
            <v>0</v>
          </cell>
          <cell r="AW169" t="str">
            <v>Proppant Pack damage=2%</v>
          </cell>
          <cell r="AY169">
            <v>241.04514191348372</v>
          </cell>
        </row>
        <row r="170">
          <cell r="C170" t="str">
            <v>Priobskoe RB!8706</v>
          </cell>
          <cell r="E170" t="str">
            <v>8706</v>
          </cell>
          <cell r="F170">
            <v>2632.7</v>
          </cell>
          <cell r="G170">
            <v>36853</v>
          </cell>
          <cell r="H170">
            <v>250</v>
          </cell>
          <cell r="I170">
            <v>121.34668000000001</v>
          </cell>
          <cell r="J170" t="str">
            <v/>
          </cell>
          <cell r="K170" t="str">
            <v/>
          </cell>
          <cell r="L170" t="str">
            <v/>
          </cell>
          <cell r="M170" t="str">
            <v/>
          </cell>
          <cell r="N170" t="str">
            <v/>
          </cell>
          <cell r="O170" t="str">
            <v/>
          </cell>
          <cell r="P170">
            <v>0</v>
          </cell>
          <cell r="Q170">
            <v>0.11203948384726119</v>
          </cell>
          <cell r="R170" t="str">
            <v/>
          </cell>
          <cell r="S170">
            <v>0.11203948384726119</v>
          </cell>
          <cell r="T170">
            <v>26.249999999999996</v>
          </cell>
          <cell r="U170" t="str">
            <v>Old</v>
          </cell>
          <cell r="X170">
            <v>23.67</v>
          </cell>
          <cell r="Y170">
            <v>0.73</v>
          </cell>
          <cell r="Z170">
            <v>-5.9883303070643521</v>
          </cell>
          <cell r="AA170">
            <v>-4.8118600000000002</v>
          </cell>
          <cell r="AB170">
            <v>-4.8158312448685319</v>
          </cell>
          <cell r="AC170" t="str">
            <v>AC-12,99/AC-12,100/AC-10,100</v>
          </cell>
          <cell r="AE170">
            <v>30.79</v>
          </cell>
          <cell r="AF170" t="str">
            <v>16/20C</v>
          </cell>
          <cell r="AG170">
            <v>10.5</v>
          </cell>
          <cell r="AH170">
            <v>51.4</v>
          </cell>
          <cell r="AI170">
            <v>600</v>
          </cell>
          <cell r="AJ170">
            <v>9301.665176305678</v>
          </cell>
          <cell r="AK170">
            <v>3</v>
          </cell>
          <cell r="AL170" t="str">
            <v>1:-4.81186!46.20627</v>
          </cell>
          <cell r="AM170">
            <v>1</v>
          </cell>
          <cell r="AN170">
            <v>-4.8118600000000002</v>
          </cell>
          <cell r="AO170">
            <v>41.123111862215076</v>
          </cell>
          <cell r="AP170">
            <v>46.206270000000004</v>
          </cell>
          <cell r="AQ170">
            <v>26.249999999999996</v>
          </cell>
          <cell r="AR170">
            <v>5.5044150241262804</v>
          </cell>
          <cell r="AS170">
            <v>5.3779646546693778</v>
          </cell>
          <cell r="AT170">
            <v>0</v>
          </cell>
          <cell r="AU170" t="str">
            <v/>
          </cell>
          <cell r="AV170">
            <v>0</v>
          </cell>
          <cell r="AW170" t="str">
            <v>Prefrac kh estimate too low by 176%</v>
          </cell>
          <cell r="AY170">
            <v>46.206270000000004</v>
          </cell>
        </row>
        <row r="171">
          <cell r="C171" t="str">
            <v>Priobskoe RB!8707</v>
          </cell>
          <cell r="E171" t="str">
            <v>8707</v>
          </cell>
          <cell r="F171">
            <v>2625.4</v>
          </cell>
          <cell r="G171">
            <v>36712</v>
          </cell>
          <cell r="H171">
            <v>256.24543879999999</v>
          </cell>
          <cell r="I171">
            <v>121.34668000000001</v>
          </cell>
          <cell r="J171">
            <v>20.303999999999998</v>
          </cell>
          <cell r="K171">
            <v>24</v>
          </cell>
          <cell r="L171">
            <v>6</v>
          </cell>
          <cell r="M171">
            <v>94</v>
          </cell>
          <cell r="N171">
            <v>1470</v>
          </cell>
          <cell r="O171">
            <v>116.986</v>
          </cell>
          <cell r="P171">
            <v>0</v>
          </cell>
          <cell r="R171">
            <v>0.17242643708351615</v>
          </cell>
          <cell r="S171">
            <v>0.17242643708351615</v>
          </cell>
          <cell r="T171">
            <v>40.398204436684772</v>
          </cell>
          <cell r="U171" t="str">
            <v>Old</v>
          </cell>
          <cell r="X171">
            <v>111</v>
          </cell>
          <cell r="Y171">
            <v>0.43</v>
          </cell>
          <cell r="Z171">
            <v>-4.237412175003243</v>
          </cell>
          <cell r="AA171">
            <v>-4.0689900000000003</v>
          </cell>
          <cell r="AB171">
            <v>-4.8102018212069098</v>
          </cell>
          <cell r="AC171" t="str">
            <v>AS-12,36/AS-11,100</v>
          </cell>
          <cell r="AE171">
            <v>12</v>
          </cell>
          <cell r="AF171" t="str">
            <v>12/20</v>
          </cell>
          <cell r="AG171">
            <v>29.3</v>
          </cell>
          <cell r="AH171">
            <v>59.7</v>
          </cell>
          <cell r="AI171">
            <v>590</v>
          </cell>
          <cell r="AJ171">
            <v>1289.0539654795718</v>
          </cell>
          <cell r="AK171">
            <v>2</v>
          </cell>
          <cell r="AL171" t="str">
            <v>0.07727:-4.06899!40.39820</v>
          </cell>
          <cell r="AM171">
            <v>7.7270000000000005E-2</v>
          </cell>
          <cell r="AN171">
            <v>-4.0689900000000003</v>
          </cell>
          <cell r="AO171">
            <v>1.2100777784953844</v>
          </cell>
          <cell r="AP171">
            <v>40.398200000000003</v>
          </cell>
          <cell r="AQ171">
            <v>40.398204436684772</v>
          </cell>
          <cell r="AR171">
            <v>2.3540479729163319</v>
          </cell>
          <cell r="AS171" t="str">
            <v/>
          </cell>
          <cell r="AT171">
            <v>0</v>
          </cell>
          <cell r="AU171" t="str">
            <v/>
          </cell>
          <cell r="AV171">
            <v>0</v>
          </cell>
          <cell r="AW171" t="str">
            <v>Proppant Pack damage=8%</v>
          </cell>
          <cell r="AY171">
            <v>40.398204436684772</v>
          </cell>
        </row>
        <row r="172">
          <cell r="C172" t="str">
            <v>Priobskoe RB!8711</v>
          </cell>
          <cell r="E172" t="str">
            <v>8711</v>
          </cell>
          <cell r="F172">
            <v>2660.1</v>
          </cell>
          <cell r="G172">
            <v>36842</v>
          </cell>
          <cell r="H172">
            <v>250</v>
          </cell>
          <cell r="I172">
            <v>121.34668000000001</v>
          </cell>
          <cell r="J172" t="str">
            <v/>
          </cell>
          <cell r="K172" t="str">
            <v/>
          </cell>
          <cell r="L172" t="str">
            <v/>
          </cell>
          <cell r="M172" t="str">
            <v/>
          </cell>
          <cell r="N172" t="str">
            <v/>
          </cell>
          <cell r="O172" t="str">
            <v/>
          </cell>
          <cell r="P172">
            <v>0</v>
          </cell>
          <cell r="Q172">
            <v>0.22877395558907429</v>
          </cell>
          <cell r="R172" t="str">
            <v/>
          </cell>
          <cell r="S172">
            <v>0.22877395558907429</v>
          </cell>
          <cell r="T172">
            <v>53.599999999999994</v>
          </cell>
          <cell r="U172" t="str">
            <v>Old</v>
          </cell>
          <cell r="X172">
            <v>30</v>
          </cell>
          <cell r="Y172">
            <v>1.2325999999999999</v>
          </cell>
          <cell r="Z172">
            <v>-5.761083583529742</v>
          </cell>
          <cell r="AA172">
            <v>-5.0858299999999996</v>
          </cell>
          <cell r="AB172">
            <v>-5.0744991652244078</v>
          </cell>
          <cell r="AC172" t="str">
            <v>AS-12,100/AS-11,100/AC-10,100</v>
          </cell>
          <cell r="AE172">
            <v>31.407</v>
          </cell>
          <cell r="AF172" t="str">
            <v>16/20C</v>
          </cell>
          <cell r="AG172">
            <v>13.4</v>
          </cell>
          <cell r="AH172">
            <v>74.3</v>
          </cell>
          <cell r="AI172">
            <v>600</v>
          </cell>
          <cell r="AJ172">
            <v>5143.2338861605131</v>
          </cell>
          <cell r="AK172">
            <v>3</v>
          </cell>
          <cell r="AL172" t="str">
            <v>1:-5.08583!76.75120</v>
          </cell>
          <cell r="AM172">
            <v>1</v>
          </cell>
          <cell r="AN172">
            <v>-5.0858299999999996</v>
          </cell>
          <cell r="AO172">
            <v>12.085568502595464</v>
          </cell>
          <cell r="AP172">
            <v>76.751199999999997</v>
          </cell>
          <cell r="AQ172">
            <v>53.599999999999994</v>
          </cell>
          <cell r="AR172">
            <v>5.0947713519831215</v>
          </cell>
          <cell r="AS172">
            <v>3.0554599628085102</v>
          </cell>
          <cell r="AT172">
            <v>0</v>
          </cell>
          <cell r="AU172" t="str">
            <v/>
          </cell>
          <cell r="AV172">
            <v>0</v>
          </cell>
          <cell r="AW172" t="str">
            <v>Prefrac  kh estimate acceptable</v>
          </cell>
          <cell r="AY172">
            <v>76.751199999999997</v>
          </cell>
        </row>
        <row r="173">
          <cell r="C173" t="str">
            <v>Priobskoe RB!8715</v>
          </cell>
          <cell r="E173" t="str">
            <v>8715</v>
          </cell>
          <cell r="F173">
            <v>2528.65</v>
          </cell>
          <cell r="G173">
            <v>36875</v>
          </cell>
          <cell r="H173">
            <v>240</v>
          </cell>
          <cell r="I173">
            <v>121.34668000000001</v>
          </cell>
          <cell r="J173" t="str">
            <v/>
          </cell>
          <cell r="K173" t="str">
            <v/>
          </cell>
          <cell r="L173" t="str">
            <v/>
          </cell>
          <cell r="M173" t="str">
            <v/>
          </cell>
          <cell r="N173" t="str">
            <v/>
          </cell>
          <cell r="O173" t="str">
            <v/>
          </cell>
          <cell r="P173">
            <v>0</v>
          </cell>
          <cell r="Q173">
            <v>7.0424818418278468E-2</v>
          </cell>
          <cell r="R173" t="str">
            <v/>
          </cell>
          <cell r="S173">
            <v>7.0424818418278468E-2</v>
          </cell>
          <cell r="T173">
            <v>16.500000000000004</v>
          </cell>
          <cell r="U173" t="str">
            <v>Old</v>
          </cell>
          <cell r="X173">
            <v>11</v>
          </cell>
          <cell r="Y173">
            <v>1.3583000000000001</v>
          </cell>
          <cell r="Z173">
            <v>-6.7072725397548405</v>
          </cell>
          <cell r="AA173">
            <v>-5.4727399999999999</v>
          </cell>
          <cell r="AB173">
            <v>-5.5781742434892161</v>
          </cell>
          <cell r="AC173" t="str">
            <v>AC-12,100/AC-11,87/AC-10,99</v>
          </cell>
          <cell r="AE173">
            <v>39.979999999999997</v>
          </cell>
          <cell r="AF173" t="str">
            <v>20/40C</v>
          </cell>
          <cell r="AG173">
            <v>11</v>
          </cell>
          <cell r="AH173">
            <v>138.30000000000001</v>
          </cell>
          <cell r="AI173">
            <v>350</v>
          </cell>
          <cell r="AJ173">
            <v>2499.471275996787</v>
          </cell>
          <cell r="AK173">
            <v>3</v>
          </cell>
          <cell r="AL173" t="str">
            <v>1:-5.47274!45.52687</v>
          </cell>
          <cell r="AM173">
            <v>1</v>
          </cell>
          <cell r="AN173">
            <v>-5.4727399999999999</v>
          </cell>
          <cell r="AO173">
            <v>4.3666749213112741</v>
          </cell>
          <cell r="AP173">
            <v>45.526870000000002</v>
          </cell>
          <cell r="AQ173">
            <v>16.500000000000004</v>
          </cell>
          <cell r="AR173">
            <v>12.189261535227365</v>
          </cell>
          <cell r="AS173">
            <v>12.444691753402672</v>
          </cell>
          <cell r="AT173">
            <v>0</v>
          </cell>
          <cell r="AU173" t="str">
            <v/>
          </cell>
          <cell r="AV173">
            <v>0</v>
          </cell>
          <cell r="AW173" t="str">
            <v>Prefrac kh estimate too low by 276%</v>
          </cell>
          <cell r="AY173">
            <v>45.526870000000002</v>
          </cell>
        </row>
        <row r="174">
          <cell r="C174" t="str">
            <v>Priobskoe RB!8716</v>
          </cell>
          <cell r="E174" t="str">
            <v>8716</v>
          </cell>
          <cell r="F174">
            <v>2608.4</v>
          </cell>
          <cell r="G174">
            <v>36764</v>
          </cell>
          <cell r="H174">
            <v>260</v>
          </cell>
          <cell r="I174">
            <v>121.34668000000001</v>
          </cell>
          <cell r="J174">
            <v>39.42</v>
          </cell>
          <cell r="K174">
            <v>43.8</v>
          </cell>
          <cell r="L174">
            <v>0</v>
          </cell>
          <cell r="M174">
            <v>100</v>
          </cell>
          <cell r="N174">
            <v>1387</v>
          </cell>
          <cell r="O174">
            <v>122.926</v>
          </cell>
          <cell r="P174">
            <v>0</v>
          </cell>
          <cell r="R174">
            <v>0.31953543341552731</v>
          </cell>
          <cell r="S174">
            <v>0.31953543341552731</v>
          </cell>
          <cell r="T174">
            <v>74.864724819621102</v>
          </cell>
          <cell r="U174" t="str">
            <v>Old</v>
          </cell>
          <cell r="X174">
            <v>38</v>
          </cell>
          <cell r="Y174">
            <v>0.62829999999999997</v>
          </cell>
          <cell r="Z174">
            <v>-3.4763882707952583</v>
          </cell>
          <cell r="AA174">
            <v>-3.1354500000000001</v>
          </cell>
          <cell r="AB174">
            <v>-5.28551353945186</v>
          </cell>
          <cell r="AC174" t="str">
            <v>AS-12,100/AS-11,100/AS-10,100</v>
          </cell>
          <cell r="AE174">
            <v>40.08</v>
          </cell>
          <cell r="AF174" t="str">
            <v>16/20</v>
          </cell>
          <cell r="AG174">
            <v>26.5</v>
          </cell>
          <cell r="AH174">
            <v>96.7</v>
          </cell>
          <cell r="AI174">
            <v>420</v>
          </cell>
          <cell r="AJ174">
            <v>1892.1811069646146</v>
          </cell>
          <cell r="AK174">
            <v>3</v>
          </cell>
          <cell r="AL174" t="str">
            <v>0.02808:-3.13545!74.86472</v>
          </cell>
          <cell r="AM174">
            <v>2.8080000000000001E-2</v>
          </cell>
          <cell r="AN174">
            <v>-3.1354500000000001</v>
          </cell>
          <cell r="AO174">
            <v>0.19449211564380614</v>
          </cell>
          <cell r="AP174">
            <v>74.864720000000005</v>
          </cell>
          <cell r="AQ174">
            <v>74.864724819621102</v>
          </cell>
          <cell r="AR174">
            <v>1.7960831705911167</v>
          </cell>
          <cell r="AS174" t="str">
            <v/>
          </cell>
          <cell r="AT174">
            <v>0</v>
          </cell>
          <cell r="AU174" t="str">
            <v/>
          </cell>
          <cell r="AV174">
            <v>0</v>
          </cell>
          <cell r="AW174" t="str">
            <v>Proppant Pack damage=3%</v>
          </cell>
          <cell r="AY174">
            <v>74.864724819621102</v>
          </cell>
        </row>
        <row r="175">
          <cell r="C175" t="str">
            <v>Priobskoe RB!8720</v>
          </cell>
          <cell r="E175" t="str">
            <v>8720</v>
          </cell>
          <cell r="F175">
            <v>2460.5</v>
          </cell>
          <cell r="G175">
            <v>36869</v>
          </cell>
          <cell r="H175">
            <v>230</v>
          </cell>
          <cell r="I175">
            <v>121.34668000000001</v>
          </cell>
          <cell r="J175" t="str">
            <v/>
          </cell>
          <cell r="K175" t="str">
            <v/>
          </cell>
          <cell r="L175" t="str">
            <v/>
          </cell>
          <cell r="M175" t="str">
            <v/>
          </cell>
          <cell r="N175" t="str">
            <v/>
          </cell>
          <cell r="O175" t="str">
            <v/>
          </cell>
          <cell r="P175">
            <v>0</v>
          </cell>
          <cell r="Q175">
            <v>6.1461659710497572E-2</v>
          </cell>
          <cell r="R175" t="str">
            <v/>
          </cell>
          <cell r="S175">
            <v>6.1461659710497572E-2</v>
          </cell>
          <cell r="T175">
            <v>14.399999999999999</v>
          </cell>
          <cell r="U175" t="str">
            <v>Old</v>
          </cell>
          <cell r="X175">
            <v>17</v>
          </cell>
          <cell r="Y175">
            <v>2.0404</v>
          </cell>
          <cell r="Z175">
            <v>-6.860959062858031</v>
          </cell>
          <cell r="AA175">
            <v>-4.5830900000000003</v>
          </cell>
          <cell r="AB175">
            <v>-4.6363461781767183</v>
          </cell>
          <cell r="AC175" t="str">
            <v>AC-12,100/AC-11,100/AC-10,99</v>
          </cell>
          <cell r="AE175">
            <v>41.34</v>
          </cell>
          <cell r="AF175" t="str">
            <v>16/20C</v>
          </cell>
          <cell r="AG175">
            <v>7.2</v>
          </cell>
          <cell r="AH175">
            <v>41.8</v>
          </cell>
          <cell r="AI175">
            <v>600</v>
          </cell>
          <cell r="AJ175">
            <v>22395.724984397759</v>
          </cell>
          <cell r="AK175">
            <v>3</v>
          </cell>
          <cell r="AL175" t="str">
            <v>1:-4.58309!168.33381</v>
          </cell>
          <cell r="AM175">
            <v>1</v>
          </cell>
          <cell r="AN175">
            <v>-4.5830900000000003</v>
          </cell>
          <cell r="AO175">
            <v>22.916589599069823</v>
          </cell>
          <cell r="AP175">
            <v>168.33381</v>
          </cell>
          <cell r="AQ175">
            <v>14.399999999999999</v>
          </cell>
          <cell r="AR175">
            <v>33.197905407404392</v>
          </cell>
          <cell r="AS175">
            <v>75.620476011556292</v>
          </cell>
          <cell r="AT175">
            <v>0</v>
          </cell>
          <cell r="AU175" t="str">
            <v/>
          </cell>
          <cell r="AV175">
            <v>0</v>
          </cell>
          <cell r="AW175" t="str">
            <v>Prefrac kh estimate too low by 1169%</v>
          </cell>
          <cell r="AY175">
            <v>168.33381</v>
          </cell>
        </row>
        <row r="176">
          <cell r="C176" t="str">
            <v>Prirazlomnoe!1058</v>
          </cell>
          <cell r="E176" t="str">
            <v>1058</v>
          </cell>
          <cell r="F176">
            <v>2527.5</v>
          </cell>
          <cell r="G176">
            <v>36726</v>
          </cell>
          <cell r="H176">
            <v>209.74620680000001</v>
          </cell>
          <cell r="I176">
            <v>100</v>
          </cell>
          <cell r="J176" t="str">
            <v/>
          </cell>
          <cell r="K176" t="str">
            <v/>
          </cell>
          <cell r="L176" t="str">
            <v/>
          </cell>
          <cell r="M176" t="str">
            <v/>
          </cell>
          <cell r="N176" t="str">
            <v/>
          </cell>
          <cell r="O176" t="str">
            <v/>
          </cell>
          <cell r="P176">
            <v>0</v>
          </cell>
          <cell r="Q176">
            <v>0.1920676865953049</v>
          </cell>
          <cell r="R176" t="str">
            <v/>
          </cell>
          <cell r="S176">
            <v>0.1920676865953049</v>
          </cell>
          <cell r="T176">
            <v>45</v>
          </cell>
          <cell r="U176" t="str">
            <v>Old</v>
          </cell>
          <cell r="X176">
            <v>28.75</v>
          </cell>
          <cell r="Y176">
            <v>1.05</v>
          </cell>
          <cell r="Z176">
            <v>-5.7800501516430414</v>
          </cell>
          <cell r="AA176">
            <v>-4.9690899999999996</v>
          </cell>
          <cell r="AB176">
            <v>-4.9322735189753208</v>
          </cell>
          <cell r="AC176" t="str">
            <v>BS-4,86</v>
          </cell>
          <cell r="AE176">
            <v>30.9</v>
          </cell>
          <cell r="AF176" t="str">
            <v>16/30</v>
          </cell>
          <cell r="AG176">
            <v>15</v>
          </cell>
          <cell r="AH176">
            <v>65.099999999999994</v>
          </cell>
          <cell r="AI176">
            <v>420</v>
          </cell>
          <cell r="AJ176">
            <v>3611.5007012622723</v>
          </cell>
          <cell r="AK176">
            <v>1</v>
          </cell>
          <cell r="AL176" t="str">
            <v>1:-4.96909!63.84535</v>
          </cell>
          <cell r="AM176">
            <v>1</v>
          </cell>
          <cell r="AN176">
            <v>-4.9690899999999996</v>
          </cell>
          <cell r="AO176">
            <v>13.033729452873638</v>
          </cell>
          <cell r="AP176">
            <v>63.845350000000003</v>
          </cell>
          <cell r="AQ176">
            <v>45</v>
          </cell>
          <cell r="AR176">
            <v>4.7680589274905811</v>
          </cell>
          <cell r="AS176">
            <v>2.962508288682014</v>
          </cell>
          <cell r="AT176">
            <v>0</v>
          </cell>
          <cell r="AU176" t="str">
            <v/>
          </cell>
          <cell r="AV176">
            <v>0</v>
          </cell>
          <cell r="AW176" t="str">
            <v>Prefrac  kh estimate acceptable</v>
          </cell>
          <cell r="AY176">
            <v>63.845350000000003</v>
          </cell>
        </row>
        <row r="177">
          <cell r="C177" t="str">
            <v>Prirazlomnoe!1111</v>
          </cell>
          <cell r="E177" t="str">
            <v>1111</v>
          </cell>
          <cell r="F177">
            <v>2551</v>
          </cell>
          <cell r="G177">
            <v>36701</v>
          </cell>
          <cell r="H177">
            <v>224.2160336</v>
          </cell>
          <cell r="I177">
            <v>100</v>
          </cell>
          <cell r="J177">
            <v>47.054700000000004</v>
          </cell>
          <cell r="K177">
            <v>53.9</v>
          </cell>
          <cell r="L177">
            <v>3</v>
          </cell>
          <cell r="M177">
            <v>97</v>
          </cell>
          <cell r="N177">
            <v>600</v>
          </cell>
          <cell r="O177">
            <v>188.59</v>
          </cell>
          <cell r="P177">
            <v>0</v>
          </cell>
          <cell r="R177">
            <v>1.5129385607495749</v>
          </cell>
          <cell r="S177">
            <v>1.5129385607495749</v>
          </cell>
          <cell r="T177">
            <v>354.47001232010012</v>
          </cell>
          <cell r="U177" t="str">
            <v>Old</v>
          </cell>
          <cell r="X177">
            <v>31</v>
          </cell>
          <cell r="Y177">
            <v>2.0493000000000001</v>
          </cell>
          <cell r="Z177">
            <v>-1.8514836772100765</v>
          </cell>
          <cell r="AA177">
            <v>-1.8513599999999999</v>
          </cell>
          <cell r="AB177">
            <v>-4.9281792409669105</v>
          </cell>
          <cell r="AC177" t="str">
            <v>BS-4,100</v>
          </cell>
          <cell r="AE177">
            <v>35.21</v>
          </cell>
          <cell r="AF177" t="str">
            <v>16/30</v>
          </cell>
          <cell r="AG177">
            <v>9.1999999999999993</v>
          </cell>
          <cell r="AH177">
            <v>81.2</v>
          </cell>
          <cell r="AI177">
            <v>420</v>
          </cell>
          <cell r="AJ177">
            <v>5379.273678378202</v>
          </cell>
          <cell r="AK177">
            <v>1</v>
          </cell>
          <cell r="AL177" t="str">
            <v>0.03415:-1.85136!354.47001</v>
          </cell>
          <cell r="AM177">
            <v>3.415E-2</v>
          </cell>
          <cell r="AN177">
            <v>-1.8513599999999999</v>
          </cell>
          <cell r="AO177">
            <v>5.8717377285895676E-2</v>
          </cell>
          <cell r="AP177">
            <v>354.47001</v>
          </cell>
          <cell r="AQ177">
            <v>354.47001232010012</v>
          </cell>
          <cell r="AR177">
            <v>1.3544842627245088</v>
          </cell>
          <cell r="AS177" t="str">
            <v/>
          </cell>
          <cell r="AT177">
            <v>0</v>
          </cell>
          <cell r="AU177" t="str">
            <v/>
          </cell>
          <cell r="AV177">
            <v>0</v>
          </cell>
          <cell r="AW177" t="str">
            <v>Proppant Pack damage=3%</v>
          </cell>
          <cell r="AY177">
            <v>354.47001232010012</v>
          </cell>
        </row>
        <row r="178">
          <cell r="C178" t="str">
            <v>Prirazlomnoe!188</v>
          </cell>
          <cell r="E178" t="str">
            <v>188</v>
          </cell>
          <cell r="F178">
            <v>2502.6</v>
          </cell>
          <cell r="G178">
            <v>36736</v>
          </cell>
          <cell r="H178">
            <v>198.37632880000001</v>
          </cell>
          <cell r="I178">
            <v>100</v>
          </cell>
          <cell r="J178" t="str">
            <v/>
          </cell>
          <cell r="K178" t="str">
            <v/>
          </cell>
          <cell r="L178" t="str">
            <v/>
          </cell>
          <cell r="M178" t="str">
            <v/>
          </cell>
          <cell r="N178" t="str">
            <v/>
          </cell>
          <cell r="O178" t="str">
            <v/>
          </cell>
          <cell r="P178">
            <v>0</v>
          </cell>
          <cell r="Q178">
            <v>0.26035841960696887</v>
          </cell>
          <cell r="R178" t="str">
            <v/>
          </cell>
          <cell r="S178">
            <v>0.26035841960696887</v>
          </cell>
          <cell r="T178">
            <v>60.999999999999986</v>
          </cell>
          <cell r="U178" t="str">
            <v>Old</v>
          </cell>
          <cell r="X178">
            <v>29.4</v>
          </cell>
          <cell r="Y178">
            <v>1.86</v>
          </cell>
          <cell r="Z178">
            <v>-6.0838377099888046</v>
          </cell>
          <cell r="AA178">
            <v>-4.84612</v>
          </cell>
          <cell r="AB178">
            <v>-4.8889628626704624</v>
          </cell>
          <cell r="AC178" t="str">
            <v>BS-4,72</v>
          </cell>
          <cell r="AE178">
            <v>22.1</v>
          </cell>
          <cell r="AF178" t="str">
            <v>16/30</v>
          </cell>
          <cell r="AG178">
            <v>12.2</v>
          </cell>
          <cell r="AH178">
            <v>78</v>
          </cell>
          <cell r="AI178">
            <v>420</v>
          </cell>
          <cell r="AJ178">
            <v>2650.5702066999288</v>
          </cell>
          <cell r="AK178">
            <v>1</v>
          </cell>
          <cell r="AL178" t="str">
            <v>1:-4.84612!137.24767</v>
          </cell>
          <cell r="AM178">
            <v>1</v>
          </cell>
          <cell r="AN178">
            <v>-4.84612</v>
          </cell>
          <cell r="AO178">
            <v>3.0206441075708037</v>
          </cell>
          <cell r="AP178">
            <v>137.24767</v>
          </cell>
          <cell r="AQ178">
            <v>60.999999999999986</v>
          </cell>
          <cell r="AR178">
            <v>7.1440134194336533</v>
          </cell>
          <cell r="AS178">
            <v>8.8422873082063447</v>
          </cell>
          <cell r="AT178">
            <v>0</v>
          </cell>
          <cell r="AU178" t="str">
            <v/>
          </cell>
          <cell r="AV178">
            <v>0</v>
          </cell>
          <cell r="AW178" t="str">
            <v>Prefrac kh estimate too low by 225%</v>
          </cell>
          <cell r="AY178">
            <v>137.24767</v>
          </cell>
        </row>
        <row r="179">
          <cell r="C179" t="str">
            <v>Prirazlomnoe!189</v>
          </cell>
          <cell r="E179" t="str">
            <v>189</v>
          </cell>
          <cell r="F179">
            <v>2486.85</v>
          </cell>
          <cell r="G179">
            <v>36709</v>
          </cell>
          <cell r="H179">
            <v>188.0465652</v>
          </cell>
          <cell r="I179">
            <v>100</v>
          </cell>
          <cell r="J179">
            <v>40.692600000000006</v>
          </cell>
          <cell r="K179">
            <v>48.1</v>
          </cell>
          <cell r="L179">
            <v>6</v>
          </cell>
          <cell r="M179">
            <v>94</v>
          </cell>
          <cell r="N179">
            <v>1168</v>
          </cell>
          <cell r="O179">
            <v>131.69649999999999</v>
          </cell>
          <cell r="P179">
            <v>0</v>
          </cell>
          <cell r="R179">
            <v>0.85359262370471911</v>
          </cell>
          <cell r="S179">
            <v>0.85359262370471911</v>
          </cell>
          <cell r="T179">
            <v>199.99026774163966</v>
          </cell>
          <cell r="U179" t="str">
            <v>Old</v>
          </cell>
          <cell r="X179">
            <v>28.25</v>
          </cell>
          <cell r="Y179">
            <v>2.4670999999999998</v>
          </cell>
          <cell r="Z179">
            <v>-4.6264948395966252</v>
          </cell>
          <cell r="AA179">
            <v>-4.6265499999999999</v>
          </cell>
          <cell r="AB179">
            <v>-4.9915783356920347</v>
          </cell>
          <cell r="AC179" t="str">
            <v>BS-4,93</v>
          </cell>
          <cell r="AE179">
            <v>40.680999999999997</v>
          </cell>
          <cell r="AF179" t="str">
            <v>12/20</v>
          </cell>
          <cell r="AG179">
            <v>11.6</v>
          </cell>
          <cell r="AH179">
            <v>69.099999999999994</v>
          </cell>
          <cell r="AI179">
            <v>590</v>
          </cell>
          <cell r="AJ179">
            <v>8136.9149452046777</v>
          </cell>
          <cell r="AK179">
            <v>1</v>
          </cell>
          <cell r="AL179" t="str">
            <v>0.33838:-4.62655!199.99027</v>
          </cell>
          <cell r="AM179">
            <v>0.33838000000000001</v>
          </cell>
          <cell r="AN179">
            <v>-4.6265499999999999</v>
          </cell>
          <cell r="AO179">
            <v>2.3111894030574374</v>
          </cell>
          <cell r="AP179">
            <v>199.99027000000001</v>
          </cell>
          <cell r="AQ179">
            <v>199.99026774163966</v>
          </cell>
          <cell r="AR179">
            <v>2.8903197306463979</v>
          </cell>
          <cell r="AS179">
            <v>7.9882612524784236E-8</v>
          </cell>
          <cell r="AT179">
            <v>0</v>
          </cell>
          <cell r="AU179" t="str">
            <v/>
          </cell>
          <cell r="AV179">
            <v>0</v>
          </cell>
          <cell r="AW179" t="str">
            <v>Proppant Pack damage=34%</v>
          </cell>
          <cell r="AY179">
            <v>199.99027000000001</v>
          </cell>
        </row>
        <row r="180">
          <cell r="C180" t="str">
            <v>Prirazlomnoe!227</v>
          </cell>
          <cell r="E180" t="str">
            <v>227</v>
          </cell>
          <cell r="F180">
            <v>2500.9</v>
          </cell>
          <cell r="G180">
            <v>36699</v>
          </cell>
          <cell r="H180">
            <v>215.9461044</v>
          </cell>
          <cell r="I180">
            <v>100</v>
          </cell>
          <cell r="J180">
            <v>41.472000000000001</v>
          </cell>
          <cell r="K180">
            <v>48</v>
          </cell>
          <cell r="L180">
            <v>4</v>
          </cell>
          <cell r="M180">
            <v>96</v>
          </cell>
          <cell r="N180">
            <v>1500</v>
          </cell>
          <cell r="O180">
            <v>103.081</v>
          </cell>
          <cell r="P180">
            <v>0</v>
          </cell>
          <cell r="R180">
            <v>0.42528645372873997</v>
          </cell>
          <cell r="S180">
            <v>0.42528645372873997</v>
          </cell>
          <cell r="T180">
            <v>99.641385581519899</v>
          </cell>
          <cell r="U180" t="str">
            <v>Old</v>
          </cell>
          <cell r="X180">
            <v>25.8</v>
          </cell>
          <cell r="Y180">
            <v>1.1000000000000001</v>
          </cell>
          <cell r="Z180">
            <v>-4.3390497004280988</v>
          </cell>
          <cell r="AA180">
            <v>-4.3391299999999999</v>
          </cell>
          <cell r="AB180">
            <v>-4.9095690909022185</v>
          </cell>
          <cell r="AC180" t="str">
            <v>BS-4,100</v>
          </cell>
          <cell r="AE180">
            <v>26.25</v>
          </cell>
          <cell r="AF180" t="str">
            <v>16/30</v>
          </cell>
          <cell r="AG180">
            <v>9.6</v>
          </cell>
          <cell r="AH180">
            <v>66.3</v>
          </cell>
          <cell r="AI180">
            <v>420</v>
          </cell>
          <cell r="AJ180">
            <v>4707.0197226047603</v>
          </cell>
          <cell r="AK180">
            <v>1</v>
          </cell>
          <cell r="AL180" t="str">
            <v>0.20142:-4.33913!99.64139</v>
          </cell>
          <cell r="AM180">
            <v>0.20141999999999999</v>
          </cell>
          <cell r="AN180">
            <v>-4.3391299999999999</v>
          </cell>
          <cell r="AO180">
            <v>1.3777376825180121</v>
          </cell>
          <cell r="AP180">
            <v>99.641390000000001</v>
          </cell>
          <cell r="AQ180">
            <v>99.641385581519899</v>
          </cell>
          <cell r="AR180">
            <v>2.586567917543265</v>
          </cell>
          <cell r="AS180">
            <v>3.1369025421668084E-7</v>
          </cell>
          <cell r="AT180">
            <v>0</v>
          </cell>
          <cell r="AU180" t="str">
            <v/>
          </cell>
          <cell r="AV180">
            <v>0</v>
          </cell>
          <cell r="AW180" t="str">
            <v>Proppant Pack damage=20%</v>
          </cell>
          <cell r="AY180">
            <v>99.641390000000001</v>
          </cell>
        </row>
        <row r="181">
          <cell r="C181" t="str">
            <v>Prirazlomnoe!257</v>
          </cell>
          <cell r="E181" t="str">
            <v>257</v>
          </cell>
          <cell r="F181">
            <v>2520.6999999999998</v>
          </cell>
          <cell r="G181">
            <v>36682</v>
          </cell>
          <cell r="H181">
            <v>176.6868844</v>
          </cell>
          <cell r="I181">
            <v>100</v>
          </cell>
          <cell r="J181" t="str">
            <v/>
          </cell>
          <cell r="K181" t="str">
            <v/>
          </cell>
          <cell r="L181" t="str">
            <v/>
          </cell>
          <cell r="M181" t="str">
            <v/>
          </cell>
          <cell r="N181" t="str">
            <v/>
          </cell>
          <cell r="O181" t="str">
            <v/>
          </cell>
          <cell r="P181">
            <v>0</v>
          </cell>
          <cell r="Q181">
            <v>0.2475539071672819</v>
          </cell>
          <cell r="R181" t="str">
            <v/>
          </cell>
          <cell r="S181">
            <v>0.2475539071672819</v>
          </cell>
          <cell r="T181">
            <v>58.000000000000014</v>
          </cell>
          <cell r="U181" t="str">
            <v>Old</v>
          </cell>
          <cell r="X181">
            <v>40.67</v>
          </cell>
          <cell r="Y181">
            <v>1.86</v>
          </cell>
          <cell r="Z181">
            <v>-6.1325364788839263</v>
          </cell>
          <cell r="AA181">
            <v>-5.0099900000000002</v>
          </cell>
          <cell r="AB181">
            <v>-5.0423181586039956</v>
          </cell>
          <cell r="AC181" t="str">
            <v>BS-4,100</v>
          </cell>
          <cell r="AE181">
            <v>33.5</v>
          </cell>
          <cell r="AF181" t="str">
            <v>16/30</v>
          </cell>
          <cell r="AG181">
            <v>11.6</v>
          </cell>
          <cell r="AH181">
            <v>82.7</v>
          </cell>
          <cell r="AI181">
            <v>420</v>
          </cell>
          <cell r="AJ181">
            <v>3985.4996927171237</v>
          </cell>
          <cell r="AK181">
            <v>1</v>
          </cell>
          <cell r="AL181" t="str">
            <v>1:-5.00999!127.15221</v>
          </cell>
          <cell r="AM181">
            <v>1</v>
          </cell>
          <cell r="AN181">
            <v>-5.0099900000000002</v>
          </cell>
          <cell r="AO181">
            <v>4.3965432189084526</v>
          </cell>
          <cell r="AP181">
            <v>127.15221</v>
          </cell>
          <cell r="AQ181">
            <v>58.000000000000014</v>
          </cell>
          <cell r="AR181">
            <v>7.5135005291145012</v>
          </cell>
          <cell r="AS181">
            <v>8.4342399188344217</v>
          </cell>
          <cell r="AT181">
            <v>0</v>
          </cell>
          <cell r="AU181" t="str">
            <v/>
          </cell>
          <cell r="AV181">
            <v>0</v>
          </cell>
          <cell r="AW181" t="str">
            <v>Prefrac kh estimate too low by 219%</v>
          </cell>
          <cell r="AY181">
            <v>127.15221</v>
          </cell>
        </row>
        <row r="182">
          <cell r="C182" t="str">
            <v>Prirazlomnoe!286</v>
          </cell>
          <cell r="E182" t="str">
            <v>286</v>
          </cell>
          <cell r="F182">
            <v>2551.5</v>
          </cell>
          <cell r="G182">
            <v>36762</v>
          </cell>
          <cell r="H182">
            <v>215</v>
          </cell>
          <cell r="I182">
            <v>100</v>
          </cell>
          <cell r="J182" t="str">
            <v/>
          </cell>
          <cell r="K182" t="str">
            <v/>
          </cell>
          <cell r="L182" t="str">
            <v/>
          </cell>
          <cell r="M182" t="str">
            <v/>
          </cell>
          <cell r="N182" t="str">
            <v/>
          </cell>
          <cell r="O182" t="str">
            <v/>
          </cell>
          <cell r="P182">
            <v>0</v>
          </cell>
          <cell r="Q182">
            <v>0.34444138462758012</v>
          </cell>
          <cell r="R182" t="str">
            <v/>
          </cell>
          <cell r="S182">
            <v>0.34444138462758012</v>
          </cell>
          <cell r="T182">
            <v>80.699999999999989</v>
          </cell>
          <cell r="U182" t="str">
            <v>Old</v>
          </cell>
          <cell r="X182">
            <v>40</v>
          </cell>
          <cell r="Y182">
            <v>1.5194000000000001</v>
          </cell>
          <cell r="Z182">
            <v>-5.4703904870320521</v>
          </cell>
          <cell r="AA182">
            <v>-4.9251899999999997</v>
          </cell>
          <cell r="AB182">
            <v>-4.801450299537632</v>
          </cell>
          <cell r="AC182" t="str">
            <v>BS-4,76</v>
          </cell>
          <cell r="AE182">
            <v>23.696999999999999</v>
          </cell>
          <cell r="AF182" t="str">
            <v>16/30</v>
          </cell>
          <cell r="AG182">
            <v>26.9</v>
          </cell>
          <cell r="AH182">
            <v>72.8</v>
          </cell>
          <cell r="AI182">
            <v>420</v>
          </cell>
          <cell r="AJ182">
            <v>1486.0158862876253</v>
          </cell>
          <cell r="AK182">
            <v>1</v>
          </cell>
          <cell r="AL182" t="str">
            <v>1:-4.92519!101.26217</v>
          </cell>
          <cell r="AM182">
            <v>1</v>
          </cell>
          <cell r="AN182">
            <v>-4.9251899999999997</v>
          </cell>
          <cell r="AO182">
            <v>5.4224695649493748</v>
          </cell>
          <cell r="AP182">
            <v>101.26217</v>
          </cell>
          <cell r="AQ182">
            <v>80.699999999999989</v>
          </cell>
          <cell r="AR182">
            <v>4.1308008700677838</v>
          </cell>
          <cell r="AS182">
            <v>1.8024502684392703</v>
          </cell>
          <cell r="AT182">
            <v>0</v>
          </cell>
          <cell r="AU182" t="str">
            <v/>
          </cell>
          <cell r="AV182">
            <v>0</v>
          </cell>
          <cell r="AW182" t="str">
            <v>Prefrac  kh estimate acceptable</v>
          </cell>
          <cell r="AY182">
            <v>101.26217</v>
          </cell>
        </row>
        <row r="183">
          <cell r="C183" t="str">
            <v>Prirazlomnoe!3145</v>
          </cell>
          <cell r="E183" t="str">
            <v>3145</v>
          </cell>
          <cell r="F183">
            <v>2554.9499999999998</v>
          </cell>
          <cell r="G183">
            <v>36546</v>
          </cell>
          <cell r="H183">
            <v>216.9760216</v>
          </cell>
          <cell r="I183">
            <v>100</v>
          </cell>
          <cell r="J183" t="str">
            <v/>
          </cell>
          <cell r="K183" t="str">
            <v/>
          </cell>
          <cell r="L183" t="str">
            <v/>
          </cell>
          <cell r="M183" t="str">
            <v/>
          </cell>
          <cell r="N183" t="str">
            <v/>
          </cell>
          <cell r="O183" t="str">
            <v/>
          </cell>
          <cell r="P183">
            <v>0</v>
          </cell>
          <cell r="Q183">
            <v>0.60821434088513227</v>
          </cell>
          <cell r="R183" t="str">
            <v/>
          </cell>
          <cell r="S183">
            <v>0.60821434088513227</v>
          </cell>
          <cell r="T183">
            <v>142.50000000000003</v>
          </cell>
          <cell r="U183" t="str">
            <v>New</v>
          </cell>
          <cell r="X183">
            <v>80</v>
          </cell>
          <cell r="Y183">
            <v>0.6</v>
          </cell>
          <cell r="Z183">
            <v>9.6847708950473788E-2</v>
          </cell>
          <cell r="AA183">
            <v>0</v>
          </cell>
          <cell r="AB183">
            <v>-4.749003197015977</v>
          </cell>
          <cell r="AC183" t="str">
            <v>BS-4,92</v>
          </cell>
          <cell r="AE183">
            <v>35</v>
          </cell>
          <cell r="AF183" t="str">
            <v>16/30</v>
          </cell>
          <cell r="AG183">
            <v>28.5</v>
          </cell>
          <cell r="AH183">
            <v>74.8</v>
          </cell>
          <cell r="AI183">
            <v>420</v>
          </cell>
          <cell r="AJ183">
            <v>2136.131132294815</v>
          </cell>
          <cell r="AK183">
            <v>1</v>
          </cell>
          <cell r="AL183" t="str">
            <v>0.00000:0.00000!142.50000</v>
          </cell>
          <cell r="AM183">
            <v>0</v>
          </cell>
          <cell r="AN183">
            <v>0</v>
          </cell>
          <cell r="AO183">
            <v>0</v>
          </cell>
          <cell r="AP183">
            <v>142.5</v>
          </cell>
          <cell r="AQ183">
            <v>142.50000000000003</v>
          </cell>
          <cell r="AR183">
            <v>1.0000000000000002</v>
          </cell>
          <cell r="AS183" t="str">
            <v/>
          </cell>
          <cell r="AT183">
            <v>0</v>
          </cell>
          <cell r="AU183" t="str">
            <v/>
          </cell>
          <cell r="AV183">
            <v>1</v>
          </cell>
          <cell r="AW183" t="str">
            <v>PROBLEM FRAC possible? KH prefrac Estimate is at least 50% higher than for a perfect frac</v>
          </cell>
          <cell r="AY183">
            <v>142.50000000000003</v>
          </cell>
        </row>
        <row r="184">
          <cell r="C184" t="str">
            <v>Prirazlomnoe!3581</v>
          </cell>
          <cell r="E184" t="str">
            <v>3581</v>
          </cell>
          <cell r="F184">
            <v>2691.7</v>
          </cell>
          <cell r="G184">
            <v>36790</v>
          </cell>
          <cell r="H184">
            <v>254</v>
          </cell>
          <cell r="I184">
            <v>100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 t="str">
            <v/>
          </cell>
          <cell r="O184" t="str">
            <v/>
          </cell>
          <cell r="P184">
            <v>0</v>
          </cell>
          <cell r="Q184">
            <v>0.58260531600575816</v>
          </cell>
          <cell r="R184" t="str">
            <v/>
          </cell>
          <cell r="S184">
            <v>0.58260531600575816</v>
          </cell>
          <cell r="T184">
            <v>136.5</v>
          </cell>
          <cell r="U184" t="str">
            <v>Old</v>
          </cell>
          <cell r="W184" t="str">
            <v>1 data point</v>
          </cell>
          <cell r="X184">
            <v>96</v>
          </cell>
          <cell r="Y184">
            <v>7.4399999999999994E-2</v>
          </cell>
          <cell r="Z184">
            <v>48.320803607345368</v>
          </cell>
          <cell r="AA184">
            <v>0</v>
          </cell>
          <cell r="AB184">
            <v>-4.6816093329413304</v>
          </cell>
          <cell r="AC184" t="str">
            <v>BS-4,100</v>
          </cell>
          <cell r="AE184">
            <v>39</v>
          </cell>
          <cell r="AF184" t="str">
            <v>16/30</v>
          </cell>
          <cell r="AG184">
            <v>27.3</v>
          </cell>
          <cell r="AH184">
            <v>55.6</v>
          </cell>
          <cell r="AI184">
            <v>420</v>
          </cell>
          <cell r="AJ184">
            <v>3202.2208320300279</v>
          </cell>
          <cell r="AK184">
            <v>1</v>
          </cell>
          <cell r="AL184" t="str">
            <v>0.00000:0.00000!136.50000</v>
          </cell>
          <cell r="AM184">
            <v>0</v>
          </cell>
          <cell r="AN184">
            <v>0</v>
          </cell>
          <cell r="AO184">
            <v>0</v>
          </cell>
          <cell r="AP184">
            <v>136.5</v>
          </cell>
          <cell r="AQ184">
            <v>136.5</v>
          </cell>
          <cell r="AR184">
            <v>1</v>
          </cell>
          <cell r="AS184" t="str">
            <v/>
          </cell>
          <cell r="AT184">
            <v>0</v>
          </cell>
          <cell r="AU184" t="str">
            <v/>
          </cell>
          <cell r="AV184">
            <v>1</v>
          </cell>
          <cell r="AW184" t="str">
            <v>PROBLEM FRAC possible? KH prefrac Estimate is at least 50% higher than for a perfect frac</v>
          </cell>
          <cell r="AY184">
            <v>136.5</v>
          </cell>
        </row>
        <row r="185">
          <cell r="C185" t="str">
            <v>Prirazlomnoe!3585</v>
          </cell>
          <cell r="E185" t="str">
            <v>3585</v>
          </cell>
          <cell r="F185">
            <v>2536.8000000000002</v>
          </cell>
          <cell r="G185">
            <v>36856</v>
          </cell>
          <cell r="H185">
            <v>254</v>
          </cell>
          <cell r="I185">
            <v>100</v>
          </cell>
          <cell r="J185" t="str">
            <v/>
          </cell>
          <cell r="K185" t="str">
            <v/>
          </cell>
          <cell r="L185" t="str">
            <v/>
          </cell>
          <cell r="M185" t="str">
            <v/>
          </cell>
          <cell r="N185" t="str">
            <v/>
          </cell>
          <cell r="O185" t="str">
            <v/>
          </cell>
          <cell r="P185">
            <v>0</v>
          </cell>
          <cell r="Q185">
            <v>0.1158808375791673</v>
          </cell>
          <cell r="R185" t="str">
            <v/>
          </cell>
          <cell r="S185">
            <v>0.1158808375791673</v>
          </cell>
          <cell r="T185">
            <v>27.150000000000006</v>
          </cell>
          <cell r="U185" t="str">
            <v>Old</v>
          </cell>
          <cell r="X185">
            <v>26.5</v>
          </cell>
          <cell r="Y185">
            <v>1.42</v>
          </cell>
          <cell r="Z185">
            <v>-6.4967598300030565</v>
          </cell>
          <cell r="AA185">
            <v>-5.2594099999999999</v>
          </cell>
          <cell r="AB185">
            <v>-5.3161564442122362</v>
          </cell>
          <cell r="AC185" t="str">
            <v>BS-4,100</v>
          </cell>
          <cell r="AE185">
            <v>34.045999999999999</v>
          </cell>
          <cell r="AF185" t="str">
            <v>16/30</v>
          </cell>
          <cell r="AG185">
            <v>18.100000000000001</v>
          </cell>
          <cell r="AH185">
            <v>103.6</v>
          </cell>
          <cell r="AI185">
            <v>420</v>
          </cell>
          <cell r="AJ185">
            <v>2072.1883906486355</v>
          </cell>
          <cell r="AK185">
            <v>1</v>
          </cell>
          <cell r="AL185" t="str">
            <v>1:-5.25941!69.88402</v>
          </cell>
          <cell r="AM185">
            <v>1</v>
          </cell>
          <cell r="AN185">
            <v>-5.2594099999999999</v>
          </cell>
          <cell r="AO185">
            <v>5.180482087467702</v>
          </cell>
          <cell r="AP185">
            <v>69.884020000000007</v>
          </cell>
          <cell r="AQ185">
            <v>27.150000000000006</v>
          </cell>
          <cell r="AR185">
            <v>10.034284274463037</v>
          </cell>
          <cell r="AS185">
            <v>11.134527576753332</v>
          </cell>
          <cell r="AT185">
            <v>0</v>
          </cell>
          <cell r="AU185" t="str">
            <v/>
          </cell>
          <cell r="AV185">
            <v>0</v>
          </cell>
          <cell r="AW185" t="str">
            <v>Prefrac kh estimate too low by 257%</v>
          </cell>
          <cell r="AY185">
            <v>69.884020000000007</v>
          </cell>
        </row>
        <row r="186">
          <cell r="C186" t="str">
            <v>Prirazlomnoe!3586</v>
          </cell>
          <cell r="E186" t="str">
            <v>3586</v>
          </cell>
          <cell r="F186">
            <v>2536.6999999999998</v>
          </cell>
          <cell r="G186">
            <v>36846</v>
          </cell>
          <cell r="H186">
            <v>250</v>
          </cell>
          <cell r="I186">
            <v>100</v>
          </cell>
          <cell r="J186" t="str">
            <v/>
          </cell>
          <cell r="K186" t="str">
            <v/>
          </cell>
          <cell r="L186" t="str">
            <v/>
          </cell>
          <cell r="M186" t="str">
            <v/>
          </cell>
          <cell r="N186" t="str">
            <v/>
          </cell>
          <cell r="O186" t="str">
            <v/>
          </cell>
          <cell r="P186">
            <v>0</v>
          </cell>
          <cell r="Q186">
            <v>9.133885540310055E-2</v>
          </cell>
          <cell r="R186" t="str">
            <v/>
          </cell>
          <cell r="S186">
            <v>9.133885540310055E-2</v>
          </cell>
          <cell r="T186">
            <v>21.399999999999995</v>
          </cell>
          <cell r="U186" t="str">
            <v>Old</v>
          </cell>
          <cell r="X186">
            <v>26</v>
          </cell>
          <cell r="Y186">
            <v>1.44</v>
          </cell>
          <cell r="Z186">
            <v>-6.6253409652309561</v>
          </cell>
          <cell r="AA186">
            <v>-4.6728500000000004</v>
          </cell>
          <cell r="AB186">
            <v>-4.7234679407646745</v>
          </cell>
          <cell r="AC186" t="str">
            <v>BS-4,100</v>
          </cell>
          <cell r="AE186">
            <v>31.789000000000001</v>
          </cell>
          <cell r="AF186" t="str">
            <v>16/30</v>
          </cell>
          <cell r="AG186">
            <v>21.4</v>
          </cell>
          <cell r="AH186">
            <v>47</v>
          </cell>
          <cell r="AI186">
            <v>420</v>
          </cell>
          <cell r="AJ186">
            <v>3607.1708006605172</v>
          </cell>
          <cell r="AK186">
            <v>1</v>
          </cell>
          <cell r="AL186" t="str">
            <v>1:-4.67285!101.51184</v>
          </cell>
          <cell r="AM186">
            <v>1</v>
          </cell>
          <cell r="AN186">
            <v>-4.6728500000000004</v>
          </cell>
          <cell r="AO186">
            <v>16.179530772214846</v>
          </cell>
          <cell r="AP186">
            <v>101.51184000000001</v>
          </cell>
          <cell r="AQ186">
            <v>21.399999999999995</v>
          </cell>
          <cell r="AR186">
            <v>13.974722525735928</v>
          </cell>
          <cell r="AS186">
            <v>26.482001970764379</v>
          </cell>
          <cell r="AT186">
            <v>0</v>
          </cell>
          <cell r="AU186" t="str">
            <v/>
          </cell>
          <cell r="AV186">
            <v>0</v>
          </cell>
          <cell r="AW186" t="str">
            <v>Prefrac kh estimate too low by 474%</v>
          </cell>
          <cell r="AY186">
            <v>101.51184000000001</v>
          </cell>
        </row>
        <row r="187">
          <cell r="C187" t="str">
            <v>Prirazlomnoe!3588</v>
          </cell>
          <cell r="E187" t="str">
            <v>3588</v>
          </cell>
          <cell r="F187">
            <v>2522.6</v>
          </cell>
          <cell r="G187">
            <v>36814</v>
          </cell>
          <cell r="H187">
            <v>254</v>
          </cell>
          <cell r="I187">
            <v>100</v>
          </cell>
          <cell r="J187" t="str">
            <v/>
          </cell>
          <cell r="K187" t="str">
            <v/>
          </cell>
          <cell r="L187" t="str">
            <v/>
          </cell>
          <cell r="M187" t="str">
            <v/>
          </cell>
          <cell r="N187" t="str">
            <v/>
          </cell>
          <cell r="O187" t="str">
            <v/>
          </cell>
          <cell r="P187">
            <v>0</v>
          </cell>
          <cell r="Q187">
            <v>0.24072483386611548</v>
          </cell>
          <cell r="R187" t="str">
            <v/>
          </cell>
          <cell r="S187">
            <v>0.24072483386611548</v>
          </cell>
          <cell r="T187">
            <v>56.4</v>
          </cell>
          <cell r="U187" t="str">
            <v>Old</v>
          </cell>
          <cell r="X187">
            <v>27</v>
          </cell>
          <cell r="Y187">
            <v>0.6351</v>
          </cell>
          <cell r="Z187">
            <v>-4.3927382629037837</v>
          </cell>
          <cell r="AA187">
            <v>-4.9076399999999998</v>
          </cell>
          <cell r="AB187">
            <v>-4.8052337319949476</v>
          </cell>
          <cell r="AC187" t="str">
            <v>BS-4,100</v>
          </cell>
          <cell r="AE187">
            <v>29.62</v>
          </cell>
          <cell r="AF187" t="str">
            <v>16/30</v>
          </cell>
          <cell r="AG187">
            <v>18.8</v>
          </cell>
          <cell r="AH187">
            <v>57.1</v>
          </cell>
          <cell r="AI187">
            <v>420</v>
          </cell>
          <cell r="AJ187">
            <v>3149.144351325474</v>
          </cell>
          <cell r="AK187">
            <v>1</v>
          </cell>
          <cell r="AL187" t="str">
            <v>1:-4.90764!29.86242</v>
          </cell>
          <cell r="AM187">
            <v>1</v>
          </cell>
          <cell r="AN187">
            <v>-4.9076399999999998</v>
          </cell>
          <cell r="AO187">
            <v>34.720766976712419</v>
          </cell>
          <cell r="AP187">
            <v>29.86242</v>
          </cell>
          <cell r="AQ187">
            <v>56.4</v>
          </cell>
          <cell r="AR187">
            <v>1.728916119886553</v>
          </cell>
          <cell r="AS187" t="str">
            <v/>
          </cell>
          <cell r="AT187">
            <v>0</v>
          </cell>
          <cell r="AU187" t="str">
            <v/>
          </cell>
          <cell r="AV187">
            <v>0</v>
          </cell>
          <cell r="AW187" t="str">
            <v>Prefrac  kh estimate acceptable</v>
          </cell>
          <cell r="AY187">
            <v>56.4</v>
          </cell>
        </row>
        <row r="188">
          <cell r="C188" t="str">
            <v>Prirazlomnoe!3592</v>
          </cell>
          <cell r="E188" t="str">
            <v>3592</v>
          </cell>
          <cell r="F188">
            <v>2527</v>
          </cell>
          <cell r="G188">
            <v>36815</v>
          </cell>
          <cell r="H188">
            <v>255</v>
          </cell>
          <cell r="I188">
            <v>100</v>
          </cell>
          <cell r="J188" t="str">
            <v/>
          </cell>
          <cell r="K188" t="str">
            <v/>
          </cell>
          <cell r="L188" t="str">
            <v/>
          </cell>
          <cell r="M188" t="str">
            <v/>
          </cell>
          <cell r="N188" t="str">
            <v/>
          </cell>
          <cell r="O188" t="str">
            <v/>
          </cell>
          <cell r="P188">
            <v>0</v>
          </cell>
          <cell r="Q188">
            <v>0.16389775922799352</v>
          </cell>
          <cell r="R188" t="str">
            <v/>
          </cell>
          <cell r="S188">
            <v>0.16389775922799352</v>
          </cell>
          <cell r="T188">
            <v>38.4</v>
          </cell>
          <cell r="U188" t="str">
            <v>Old</v>
          </cell>
          <cell r="X188">
            <v>26</v>
          </cell>
          <cell r="Y188">
            <v>0.38729999999999998</v>
          </cell>
          <cell r="Z188">
            <v>-4.0804485673885083</v>
          </cell>
          <cell r="AA188">
            <v>-3.3890099999999999</v>
          </cell>
          <cell r="AB188">
            <v>-4.9136069031965626</v>
          </cell>
          <cell r="AC188" t="str">
            <v>BS-4,100</v>
          </cell>
          <cell r="AE188">
            <v>36.39</v>
          </cell>
          <cell r="AF188" t="str">
            <v>16/30</v>
          </cell>
          <cell r="AG188">
            <v>19.2</v>
          </cell>
          <cell r="AH188">
            <v>60.6</v>
          </cell>
          <cell r="AI188">
            <v>420</v>
          </cell>
          <cell r="AJ188">
            <v>3569.5188065002158</v>
          </cell>
          <cell r="AK188">
            <v>1</v>
          </cell>
          <cell r="AL188" t="str">
            <v>0.01378:-3.38901!38.40000</v>
          </cell>
          <cell r="AM188">
            <v>1.3780000000000001E-2</v>
          </cell>
          <cell r="AN188">
            <v>-3.3890099999999999</v>
          </cell>
          <cell r="AO188">
            <v>0.40584132964994202</v>
          </cell>
          <cell r="AP188">
            <v>38.4</v>
          </cell>
          <cell r="AQ188">
            <v>38.4</v>
          </cell>
          <cell r="AR188">
            <v>1.9196680819443324</v>
          </cell>
          <cell r="AS188" t="str">
            <v/>
          </cell>
          <cell r="AT188">
            <v>0</v>
          </cell>
          <cell r="AU188" t="str">
            <v/>
          </cell>
          <cell r="AV188">
            <v>1</v>
          </cell>
          <cell r="AW188" t="str">
            <v>PROBLEM FRAC possible? KH prefrac Estimate is at least 50% higher than for a perfect frac</v>
          </cell>
          <cell r="AY188">
            <v>38.4</v>
          </cell>
        </row>
        <row r="189">
          <cell r="C189" t="str">
            <v>Prirazlomnoe!3604</v>
          </cell>
          <cell r="E189" t="str">
            <v>3604</v>
          </cell>
          <cell r="F189">
            <v>2524.8000000000002</v>
          </cell>
          <cell r="G189">
            <v>36865</v>
          </cell>
          <cell r="H189">
            <v>230</v>
          </cell>
          <cell r="I189">
            <v>100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 t="str">
            <v/>
          </cell>
          <cell r="O189" t="str">
            <v/>
          </cell>
          <cell r="P189">
            <v>0</v>
          </cell>
          <cell r="Q189">
            <v>0.20401856487234607</v>
          </cell>
          <cell r="R189" t="str">
            <v/>
          </cell>
          <cell r="S189">
            <v>0.20401856487234607</v>
          </cell>
          <cell r="T189">
            <v>47.8</v>
          </cell>
          <cell r="U189" t="str">
            <v>Old</v>
          </cell>
          <cell r="X189">
            <v>21</v>
          </cell>
          <cell r="Y189">
            <v>0.37019999999999997</v>
          </cell>
          <cell r="Z189">
            <v>-3.1755135554920413</v>
          </cell>
          <cell r="AA189">
            <v>-2.36564</v>
          </cell>
          <cell r="AB189">
            <v>-4.7122088813056688</v>
          </cell>
          <cell r="AC189" t="str">
            <v>BS-4,78</v>
          </cell>
          <cell r="AE189">
            <v>20.48</v>
          </cell>
          <cell r="AF189" t="str">
            <v>16/30</v>
          </cell>
          <cell r="AG189">
            <v>23.9</v>
          </cell>
          <cell r="AH189">
            <v>52</v>
          </cell>
          <cell r="AI189">
            <v>420</v>
          </cell>
          <cell r="AJ189">
            <v>1880.7461412518714</v>
          </cell>
          <cell r="AK189">
            <v>1</v>
          </cell>
          <cell r="AL189" t="str">
            <v>0.00854:-2.36564!47.80000</v>
          </cell>
          <cell r="AM189">
            <v>8.5400000000000007E-3</v>
          </cell>
          <cell r="AN189">
            <v>-2.36564</v>
          </cell>
          <cell r="AO189">
            <v>0.15443819275279791</v>
          </cell>
          <cell r="AP189">
            <v>47.8</v>
          </cell>
          <cell r="AQ189">
            <v>47.8</v>
          </cell>
          <cell r="AR189">
            <v>1.5024290586974622</v>
          </cell>
          <cell r="AS189" t="str">
            <v/>
          </cell>
          <cell r="AT189">
            <v>0</v>
          </cell>
          <cell r="AU189" t="str">
            <v/>
          </cell>
          <cell r="AV189">
            <v>1</v>
          </cell>
          <cell r="AW189" t="str">
            <v>PROBLEM FRAC possible? KH prefrac Estimate is at least 50% higher than for a perfect frac</v>
          </cell>
          <cell r="AY189">
            <v>47.8</v>
          </cell>
        </row>
        <row r="190">
          <cell r="C190" t="str">
            <v>Prirazlomnoe!3611</v>
          </cell>
          <cell r="E190" t="str">
            <v>3611</v>
          </cell>
          <cell r="F190">
            <v>2523.5500000000002</v>
          </cell>
          <cell r="G190">
            <v>36853</v>
          </cell>
          <cell r="H190">
            <v>220</v>
          </cell>
          <cell r="I190">
            <v>100</v>
          </cell>
          <cell r="J190" t="str">
            <v/>
          </cell>
          <cell r="K190" t="str">
            <v/>
          </cell>
          <cell r="L190" t="str">
            <v/>
          </cell>
          <cell r="M190" t="str">
            <v/>
          </cell>
          <cell r="N190" t="str">
            <v/>
          </cell>
          <cell r="O190" t="str">
            <v/>
          </cell>
          <cell r="P190">
            <v>0</v>
          </cell>
          <cell r="Q190">
            <v>0.17670227166768049</v>
          </cell>
          <cell r="R190" t="str">
            <v/>
          </cell>
          <cell r="S190">
            <v>0.17670227166768049</v>
          </cell>
          <cell r="T190">
            <v>41.399999999999991</v>
          </cell>
          <cell r="U190" t="str">
            <v>Old</v>
          </cell>
          <cell r="X190">
            <v>23.67</v>
          </cell>
          <cell r="Y190">
            <v>0.71</v>
          </cell>
          <cell r="Z190">
            <v>-5.3134826305746019</v>
          </cell>
          <cell r="AA190">
            <v>-4.7251599999999998</v>
          </cell>
          <cell r="AB190">
            <v>-4.6905860964957355</v>
          </cell>
          <cell r="AC190" t="str">
            <v>BS-4,97</v>
          </cell>
          <cell r="AE190">
            <v>33.369999999999997</v>
          </cell>
          <cell r="AF190" t="str">
            <v>16/30</v>
          </cell>
          <cell r="AG190">
            <v>20.7</v>
          </cell>
          <cell r="AH190">
            <v>46.8</v>
          </cell>
          <cell r="AI190">
            <v>420</v>
          </cell>
          <cell r="AJ190">
            <v>3931.3479176428141</v>
          </cell>
          <cell r="AK190">
            <v>1</v>
          </cell>
          <cell r="AL190" t="str">
            <v>1:-4.72516!37.15746</v>
          </cell>
          <cell r="AM190">
            <v>1</v>
          </cell>
          <cell r="AN190">
            <v>-4.7251599999999998</v>
          </cell>
          <cell r="AO190">
            <v>46.797209096403378</v>
          </cell>
          <cell r="AP190">
            <v>37.15746</v>
          </cell>
          <cell r="AQ190">
            <v>41.399999999999991</v>
          </cell>
          <cell r="AR190">
            <v>2.7030346731378692</v>
          </cell>
          <cell r="AS190" t="str">
            <v/>
          </cell>
          <cell r="AT190">
            <v>0</v>
          </cell>
          <cell r="AU190" t="str">
            <v/>
          </cell>
          <cell r="AV190">
            <v>0</v>
          </cell>
          <cell r="AW190" t="str">
            <v>Prefrac  kh estimate acceptable</v>
          </cell>
          <cell r="AY190">
            <v>41.399999999999991</v>
          </cell>
        </row>
        <row r="191">
          <cell r="C191" t="str">
            <v>Prirazlomnoe!5396</v>
          </cell>
          <cell r="E191" t="str">
            <v>5396</v>
          </cell>
          <cell r="F191">
            <v>2563.9499999999998</v>
          </cell>
          <cell r="G191">
            <v>36549</v>
          </cell>
          <cell r="H191">
            <v>237.645746</v>
          </cell>
          <cell r="I191">
            <v>100</v>
          </cell>
          <cell r="J191" t="str">
            <v/>
          </cell>
          <cell r="K191" t="str">
            <v/>
          </cell>
          <cell r="L191" t="str">
            <v/>
          </cell>
          <cell r="M191" t="str">
            <v/>
          </cell>
          <cell r="N191" t="str">
            <v/>
          </cell>
          <cell r="O191" t="str">
            <v/>
          </cell>
          <cell r="P191">
            <v>0</v>
          </cell>
          <cell r="Q191">
            <v>0.6965654767189724</v>
          </cell>
          <cell r="R191" t="str">
            <v/>
          </cell>
          <cell r="S191">
            <v>0.6965654767189724</v>
          </cell>
          <cell r="T191">
            <v>163.19999999999996</v>
          </cell>
          <cell r="U191" t="str">
            <v>New</v>
          </cell>
          <cell r="X191">
            <v>87</v>
          </cell>
          <cell r="Y191">
            <v>1.3532999999999999</v>
          </cell>
          <cell r="Z191">
            <v>-3.4329197033974452</v>
          </cell>
          <cell r="AA191">
            <v>-5.0900800000000004</v>
          </cell>
          <cell r="AB191">
            <v>-4.7274131073402916</v>
          </cell>
          <cell r="AC191" t="str">
            <v>BS-4,100</v>
          </cell>
          <cell r="AE191">
            <v>37.299999999999997</v>
          </cell>
          <cell r="AF191" t="str">
            <v>16/30</v>
          </cell>
          <cell r="AG191">
            <v>27.2</v>
          </cell>
          <cell r="AH191">
            <v>79.8</v>
          </cell>
          <cell r="AI191">
            <v>420</v>
          </cell>
          <cell r="AJ191">
            <v>2133.8672768878719</v>
          </cell>
          <cell r="AK191">
            <v>1</v>
          </cell>
          <cell r="AL191" t="str">
            <v>1:-5.09008!88.92374</v>
          </cell>
          <cell r="AM191">
            <v>1</v>
          </cell>
          <cell r="AN191">
            <v>-5.0900800000000004</v>
          </cell>
          <cell r="AO191">
            <v>8.1792916847601767</v>
          </cell>
          <cell r="AP191">
            <v>88.923739999999995</v>
          </cell>
          <cell r="AQ191">
            <v>163.19999999999996</v>
          </cell>
          <cell r="AR191">
            <v>1.9428139733722203</v>
          </cell>
          <cell r="AS191" t="str">
            <v/>
          </cell>
          <cell r="AT191">
            <v>0</v>
          </cell>
          <cell r="AU191" t="str">
            <v/>
          </cell>
          <cell r="AV191">
            <v>0</v>
          </cell>
          <cell r="AW191" t="str">
            <v>Prefrac  kh estimate acceptable</v>
          </cell>
          <cell r="AY191">
            <v>163.19999999999996</v>
          </cell>
        </row>
        <row r="192">
          <cell r="C192" t="str">
            <v>Prirazlomnoe!5397</v>
          </cell>
          <cell r="E192" t="str">
            <v>5397</v>
          </cell>
          <cell r="F192">
            <v>2576.9499999999998</v>
          </cell>
          <cell r="G192">
            <v>36556</v>
          </cell>
          <cell r="H192">
            <v>216.9760216</v>
          </cell>
          <cell r="I192">
            <v>100</v>
          </cell>
          <cell r="J192" t="str">
            <v/>
          </cell>
          <cell r="K192" t="str">
            <v/>
          </cell>
          <cell r="L192" t="str">
            <v/>
          </cell>
          <cell r="M192" t="str">
            <v/>
          </cell>
          <cell r="N192" t="str">
            <v/>
          </cell>
          <cell r="O192" t="str">
            <v/>
          </cell>
          <cell r="P192">
            <v>0</v>
          </cell>
          <cell r="Q192">
            <v>0.27102884664004134</v>
          </cell>
          <cell r="R192" t="str">
            <v/>
          </cell>
          <cell r="S192">
            <v>0.27102884664004134</v>
          </cell>
          <cell r="T192">
            <v>63.499999999999993</v>
          </cell>
          <cell r="U192" t="str">
            <v>New</v>
          </cell>
          <cell r="X192">
            <v>70</v>
          </cell>
          <cell r="Y192">
            <v>0.7903</v>
          </cell>
          <cell r="Z192">
            <v>-4.6480425546991793</v>
          </cell>
          <cell r="AA192">
            <v>-5.2045000000000003</v>
          </cell>
          <cell r="AB192">
            <v>-5.033520669607956</v>
          </cell>
          <cell r="AC192" t="str">
            <v>BS-4,100</v>
          </cell>
          <cell r="AE192">
            <v>35.4</v>
          </cell>
          <cell r="AF192" t="str">
            <v>16/30</v>
          </cell>
          <cell r="AG192">
            <v>25.4</v>
          </cell>
          <cell r="AH192">
            <v>82.9</v>
          </cell>
          <cell r="AI192">
            <v>420</v>
          </cell>
          <cell r="AJ192">
            <v>1949.44144333141</v>
          </cell>
          <cell r="AK192">
            <v>1</v>
          </cell>
          <cell r="AL192" t="str">
            <v>1:-5.20450!41.51621</v>
          </cell>
          <cell r="AM192">
            <v>1</v>
          </cell>
          <cell r="AN192">
            <v>-5.2045000000000003</v>
          </cell>
          <cell r="AO192">
            <v>14.387047601717031</v>
          </cell>
          <cell r="AP192">
            <v>41.516210000000001</v>
          </cell>
          <cell r="AQ192">
            <v>63.499999999999993</v>
          </cell>
          <cell r="AR192">
            <v>2.4738632955989952</v>
          </cell>
          <cell r="AS192" t="str">
            <v/>
          </cell>
          <cell r="AT192">
            <v>0</v>
          </cell>
          <cell r="AU192" t="str">
            <v/>
          </cell>
          <cell r="AV192">
            <v>0</v>
          </cell>
          <cell r="AW192" t="str">
            <v>Prefrac  kh estimate acceptable</v>
          </cell>
          <cell r="AY192">
            <v>63.499999999999993</v>
          </cell>
        </row>
        <row r="193">
          <cell r="C193" t="str">
            <v>Prirazlomnoe!5455</v>
          </cell>
          <cell r="E193" t="str">
            <v>5455</v>
          </cell>
          <cell r="F193">
            <v>2549.8000000000002</v>
          </cell>
          <cell r="G193">
            <v>36560</v>
          </cell>
          <cell r="H193">
            <v>247.97550960000001</v>
          </cell>
          <cell r="I193">
            <v>100</v>
          </cell>
          <cell r="J193" t="str">
            <v/>
          </cell>
          <cell r="K193" t="str">
            <v/>
          </cell>
          <cell r="L193" t="str">
            <v/>
          </cell>
          <cell r="M193" t="str">
            <v/>
          </cell>
          <cell r="N193" t="str">
            <v/>
          </cell>
          <cell r="O193" t="str">
            <v/>
          </cell>
          <cell r="P193">
            <v>0</v>
          </cell>
          <cell r="Q193">
            <v>0.46309653323534627</v>
          </cell>
          <cell r="R193" t="str">
            <v/>
          </cell>
          <cell r="S193">
            <v>0.46309653323534627</v>
          </cell>
          <cell r="T193">
            <v>108.5</v>
          </cell>
          <cell r="U193" t="str">
            <v>New</v>
          </cell>
          <cell r="X193">
            <v>96</v>
          </cell>
          <cell r="Y193">
            <v>0.58040000000000003</v>
          </cell>
          <cell r="Z193">
            <v>-1.4297210908444384</v>
          </cell>
          <cell r="AA193">
            <v>-1.4297</v>
          </cell>
          <cell r="AB193">
            <v>-4.7482940460886285</v>
          </cell>
          <cell r="AC193" t="str">
            <v>BS-4,100</v>
          </cell>
          <cell r="AE193">
            <v>36.799999999999997</v>
          </cell>
          <cell r="AF193" t="str">
            <v>16/30</v>
          </cell>
          <cell r="AG193">
            <v>31</v>
          </cell>
          <cell r="AH193">
            <v>58.7</v>
          </cell>
          <cell r="AI193">
            <v>420</v>
          </cell>
          <cell r="AJ193">
            <v>2862.010221465076</v>
          </cell>
          <cell r="AK193">
            <v>1</v>
          </cell>
          <cell r="AL193" t="str">
            <v>0.00478:-1.42970!108.50000</v>
          </cell>
          <cell r="AM193">
            <v>4.7800000000000004E-3</v>
          </cell>
          <cell r="AN193">
            <v>-1.4297</v>
          </cell>
          <cell r="AO193">
            <v>6.6587533991740389E-2</v>
          </cell>
          <cell r="AP193">
            <v>108.5</v>
          </cell>
          <cell r="AQ193">
            <v>108.5</v>
          </cell>
          <cell r="AR193">
            <v>1.2532977243510808</v>
          </cell>
          <cell r="AS193" t="str">
            <v/>
          </cell>
          <cell r="AT193">
            <v>0</v>
          </cell>
          <cell r="AU193" t="str">
            <v/>
          </cell>
          <cell r="AV193">
            <v>1</v>
          </cell>
          <cell r="AW193" t="str">
            <v>PROBLEM FRAC possible? KH prefrac Estimate is at least 50% higher than for a perfect frac</v>
          </cell>
          <cell r="AY193">
            <v>108.5</v>
          </cell>
        </row>
        <row r="194">
          <cell r="C194" t="str">
            <v>Prirazlomnoe!5627</v>
          </cell>
          <cell r="E194" t="str">
            <v>5627</v>
          </cell>
          <cell r="F194">
            <v>2547.6999999999998</v>
          </cell>
          <cell r="G194">
            <v>36701</v>
          </cell>
          <cell r="H194">
            <v>216.9760216</v>
          </cell>
          <cell r="I194">
            <v>100</v>
          </cell>
          <cell r="J194">
            <v>58.23360000000001</v>
          </cell>
          <cell r="K194">
            <v>67.400000000000006</v>
          </cell>
          <cell r="L194">
            <v>4</v>
          </cell>
          <cell r="M194">
            <v>96</v>
          </cell>
          <cell r="N194">
            <v>1130</v>
          </cell>
          <cell r="O194">
            <v>140.59299999999996</v>
          </cell>
          <cell r="P194">
            <v>0</v>
          </cell>
          <cell r="R194">
            <v>0.88239504785445633</v>
          </cell>
          <cell r="S194">
            <v>0.88239504785445633</v>
          </cell>
          <cell r="T194">
            <v>206.73845693324026</v>
          </cell>
          <cell r="U194" t="str">
            <v>Old</v>
          </cell>
          <cell r="X194">
            <v>17</v>
          </cell>
          <cell r="Y194">
            <v>1.4376</v>
          </cell>
          <cell r="Z194">
            <v>-2.7320154263584033</v>
          </cell>
          <cell r="AA194">
            <v>-2.6811500000000001</v>
          </cell>
          <cell r="AB194">
            <v>-4.464801557590782</v>
          </cell>
          <cell r="AC194" t="str">
            <v>BS-4,100</v>
          </cell>
          <cell r="AE194">
            <v>32.090000000000003</v>
          </cell>
          <cell r="AF194" t="str">
            <v>20/40</v>
          </cell>
          <cell r="AG194">
            <v>18</v>
          </cell>
          <cell r="AH194">
            <v>75.5</v>
          </cell>
          <cell r="AI194">
            <v>250</v>
          </cell>
          <cell r="AJ194">
            <v>1604.1406724893623</v>
          </cell>
          <cell r="AK194">
            <v>1</v>
          </cell>
          <cell r="AL194" t="str">
            <v>0.07874:-2.68115!206.73846</v>
          </cell>
          <cell r="AM194">
            <v>7.8740000000000004E-2</v>
          </cell>
          <cell r="AN194">
            <v>-2.6811500000000001</v>
          </cell>
          <cell r="AO194">
            <v>0.14566061437453551</v>
          </cell>
          <cell r="AP194">
            <v>206.73846</v>
          </cell>
          <cell r="AQ194">
            <v>206.73845693324026</v>
          </cell>
          <cell r="AR194">
            <v>1.6103376891631385</v>
          </cell>
          <cell r="AS194">
            <v>1.0493644975184679E-7</v>
          </cell>
          <cell r="AT194">
            <v>0</v>
          </cell>
          <cell r="AU194" t="str">
            <v/>
          </cell>
          <cell r="AV194">
            <v>0</v>
          </cell>
          <cell r="AW194" t="str">
            <v>Proppant Pack damage=8%</v>
          </cell>
          <cell r="AY194">
            <v>206.73846</v>
          </cell>
        </row>
        <row r="195">
          <cell r="C195" t="str">
            <v>Prirazlomnoe!5754</v>
          </cell>
          <cell r="E195" t="str">
            <v>5754</v>
          </cell>
          <cell r="F195">
            <v>2547.0500000000002</v>
          </cell>
          <cell r="G195">
            <v>36828</v>
          </cell>
          <cell r="H195">
            <v>220</v>
          </cell>
          <cell r="I195">
            <v>100</v>
          </cell>
          <cell r="J195" t="str">
            <v/>
          </cell>
          <cell r="K195" t="str">
            <v/>
          </cell>
          <cell r="L195" t="str">
            <v/>
          </cell>
          <cell r="M195" t="str">
            <v/>
          </cell>
          <cell r="N195" t="str">
            <v/>
          </cell>
          <cell r="O195" t="str">
            <v/>
          </cell>
          <cell r="P195">
            <v>0</v>
          </cell>
          <cell r="Q195">
            <v>0.24840754132992765</v>
          </cell>
          <cell r="R195" t="str">
            <v/>
          </cell>
          <cell r="S195">
            <v>0.24840754132992765</v>
          </cell>
          <cell r="T195">
            <v>58.199999999999989</v>
          </cell>
          <cell r="U195" t="str">
            <v>Old</v>
          </cell>
          <cell r="X195">
            <v>30</v>
          </cell>
          <cell r="Y195">
            <v>0.91080000000000005</v>
          </cell>
          <cell r="Z195">
            <v>-5.1447021627978886</v>
          </cell>
          <cell r="AA195">
            <v>-5.0656600000000003</v>
          </cell>
          <cell r="AB195">
            <v>-4.9701554300014603</v>
          </cell>
          <cell r="AC195" t="str">
            <v>BS-4,97</v>
          </cell>
          <cell r="AE195">
            <v>38.89</v>
          </cell>
          <cell r="AF195" t="str">
            <v>16/30</v>
          </cell>
          <cell r="AG195">
            <v>19.399999999999999</v>
          </cell>
          <cell r="AH195">
            <v>69.3</v>
          </cell>
          <cell r="AI195">
            <v>420</v>
          </cell>
          <cell r="AJ195">
            <v>3301.4479170911268</v>
          </cell>
          <cell r="AK195">
            <v>1</v>
          </cell>
          <cell r="AL195" t="str">
            <v>1:-5.06566!44.82070</v>
          </cell>
          <cell r="AM195">
            <v>1</v>
          </cell>
          <cell r="AN195">
            <v>-5.0656600000000003</v>
          </cell>
          <cell r="AO195">
            <v>20.62026824706399</v>
          </cell>
          <cell r="AP195">
            <v>44.820700000000002</v>
          </cell>
          <cell r="AQ195">
            <v>58.199999999999989</v>
          </cell>
          <cell r="AR195">
            <v>2.7125411972761868</v>
          </cell>
          <cell r="AS195" t="str">
            <v/>
          </cell>
          <cell r="AT195">
            <v>0</v>
          </cell>
          <cell r="AU195" t="str">
            <v/>
          </cell>
          <cell r="AV195">
            <v>0</v>
          </cell>
          <cell r="AW195" t="str">
            <v>Prefrac  kh estimate acceptable</v>
          </cell>
          <cell r="AY195">
            <v>58.199999999999989</v>
          </cell>
        </row>
        <row r="196">
          <cell r="C196" t="str">
            <v>Prirazlomnoe!5817</v>
          </cell>
          <cell r="E196" t="str">
            <v>5817</v>
          </cell>
          <cell r="F196">
            <v>2513.1</v>
          </cell>
          <cell r="G196">
            <v>36836</v>
          </cell>
          <cell r="H196">
            <v>200</v>
          </cell>
          <cell r="I196">
            <v>100</v>
          </cell>
          <cell r="J196" t="str">
            <v/>
          </cell>
          <cell r="K196" t="str">
            <v/>
          </cell>
          <cell r="L196" t="str">
            <v/>
          </cell>
          <cell r="M196" t="str">
            <v/>
          </cell>
          <cell r="N196" t="str">
            <v/>
          </cell>
          <cell r="O196" t="str">
            <v/>
          </cell>
          <cell r="P196">
            <v>0</v>
          </cell>
          <cell r="Q196">
            <v>6.4022562198434968E-2</v>
          </cell>
          <cell r="R196" t="str">
            <v/>
          </cell>
          <cell r="S196">
            <v>6.4022562198434968E-2</v>
          </cell>
          <cell r="T196">
            <v>15</v>
          </cell>
          <cell r="U196" t="str">
            <v>Old</v>
          </cell>
          <cell r="X196">
            <v>50</v>
          </cell>
          <cell r="Y196">
            <v>0.63</v>
          </cell>
          <cell r="Z196">
            <v>-6.3551594224044861</v>
          </cell>
          <cell r="AA196">
            <v>-5.1025299999999998</v>
          </cell>
          <cell r="AB196">
            <v>-5.1417732475575528</v>
          </cell>
          <cell r="AC196" t="str">
            <v>BS-4,100</v>
          </cell>
          <cell r="AE196">
            <v>20.152999999999999</v>
          </cell>
          <cell r="AF196" t="str">
            <v>16/30</v>
          </cell>
          <cell r="AG196">
            <v>10</v>
          </cell>
          <cell r="AH196">
            <v>78.099999999999994</v>
          </cell>
          <cell r="AI196">
            <v>420</v>
          </cell>
          <cell r="AJ196">
            <v>2945.0328452931026</v>
          </cell>
          <cell r="AK196">
            <v>1</v>
          </cell>
          <cell r="AL196" t="str">
            <v>1:-5.10253!40.48624</v>
          </cell>
          <cell r="AM196">
            <v>1</v>
          </cell>
          <cell r="AN196">
            <v>-5.1025299999999998</v>
          </cell>
          <cell r="AO196">
            <v>9.3139019913025063</v>
          </cell>
          <cell r="AP196">
            <v>40.486240000000002</v>
          </cell>
          <cell r="AQ196">
            <v>15</v>
          </cell>
          <cell r="AR196">
            <v>9.6846461636453114</v>
          </cell>
          <cell r="AS196">
            <v>12.019388960248406</v>
          </cell>
          <cell r="AT196">
            <v>0</v>
          </cell>
          <cell r="AU196" t="str">
            <v/>
          </cell>
          <cell r="AV196">
            <v>0</v>
          </cell>
          <cell r="AW196" t="str">
            <v>Prefrac kh estimate too low by 270%</v>
          </cell>
          <cell r="AY196">
            <v>40.486240000000002</v>
          </cell>
        </row>
        <row r="197">
          <cell r="C197" t="str">
            <v>Prirazlomnoe!5829</v>
          </cell>
          <cell r="E197" t="str">
            <v>5829</v>
          </cell>
          <cell r="F197">
            <v>2543.9</v>
          </cell>
          <cell r="G197">
            <v>36757</v>
          </cell>
          <cell r="H197">
            <v>206</v>
          </cell>
          <cell r="I197">
            <v>100</v>
          </cell>
          <cell r="J197" t="str">
            <v/>
          </cell>
          <cell r="K197" t="str">
            <v/>
          </cell>
          <cell r="L197" t="str">
            <v/>
          </cell>
          <cell r="M197" t="str">
            <v/>
          </cell>
          <cell r="N197" t="str">
            <v/>
          </cell>
          <cell r="O197" t="str">
            <v/>
          </cell>
          <cell r="P197">
            <v>0</v>
          </cell>
          <cell r="Q197">
            <v>0.2795651882664994</v>
          </cell>
          <cell r="R197" t="str">
            <v/>
          </cell>
          <cell r="S197">
            <v>0.2795651882664994</v>
          </cell>
          <cell r="T197">
            <v>65.5</v>
          </cell>
          <cell r="U197" t="str">
            <v>Old</v>
          </cell>
          <cell r="X197">
            <v>66</v>
          </cell>
          <cell r="Y197">
            <v>3.6699000000000002</v>
          </cell>
          <cell r="Z197">
            <v>-6.5351602088369134</v>
          </cell>
          <cell r="AA197">
            <v>-4.4872699999999996</v>
          </cell>
          <cell r="AB197">
            <v>-4.7396170794186698</v>
          </cell>
          <cell r="AC197" t="str">
            <v>BS-4,99</v>
          </cell>
          <cell r="AE197">
            <v>23.155999999999999</v>
          </cell>
          <cell r="AF197" t="str">
            <v>16/30</v>
          </cell>
          <cell r="AG197">
            <v>13.1</v>
          </cell>
          <cell r="AH197">
            <v>57</v>
          </cell>
          <cell r="AI197">
            <v>420</v>
          </cell>
          <cell r="AJ197">
            <v>3539.3121036910225</v>
          </cell>
          <cell r="AK197">
            <v>1</v>
          </cell>
          <cell r="AL197" t="str">
            <v>1:-4.48727!314.41551</v>
          </cell>
          <cell r="AM197">
            <v>1</v>
          </cell>
          <cell r="AN197">
            <v>-4.4872699999999996</v>
          </cell>
          <cell r="AO197">
            <v>2.587088823642699</v>
          </cell>
          <cell r="AP197">
            <v>314.41550999999998</v>
          </cell>
          <cell r="AQ197">
            <v>65.5</v>
          </cell>
          <cell r="AR197">
            <v>13.127188361300975</v>
          </cell>
          <cell r="AS197">
            <v>26.883049932148992</v>
          </cell>
          <cell r="AT197">
            <v>0</v>
          </cell>
          <cell r="AU197" t="str">
            <v/>
          </cell>
          <cell r="AV197">
            <v>0</v>
          </cell>
          <cell r="AW197" t="str">
            <v>Prefrac kh estimate too low by 480%</v>
          </cell>
          <cell r="AY197">
            <v>314.41550999999998</v>
          </cell>
        </row>
        <row r="198">
          <cell r="C198" t="str">
            <v>Prirazlomnoe!6206</v>
          </cell>
          <cell r="E198" t="str">
            <v>6206</v>
          </cell>
          <cell r="F198">
            <v>2551.1</v>
          </cell>
          <cell r="G198">
            <v>36719</v>
          </cell>
          <cell r="H198">
            <v>254.1754072</v>
          </cell>
          <cell r="I198">
            <v>100</v>
          </cell>
          <cell r="J198" t="str">
            <v/>
          </cell>
          <cell r="K198" t="str">
            <v/>
          </cell>
          <cell r="L198" t="str">
            <v/>
          </cell>
          <cell r="M198" t="str">
            <v/>
          </cell>
          <cell r="N198" t="str">
            <v/>
          </cell>
          <cell r="O198" t="str">
            <v/>
          </cell>
          <cell r="P198">
            <v>0</v>
          </cell>
          <cell r="Q198">
            <v>0.12932557564083863</v>
          </cell>
          <cell r="R198" t="str">
            <v/>
          </cell>
          <cell r="S198">
            <v>0.12932557564083863</v>
          </cell>
          <cell r="T198">
            <v>30.299999999999997</v>
          </cell>
          <cell r="U198" t="str">
            <v>Old</v>
          </cell>
          <cell r="X198">
            <v>36.5</v>
          </cell>
          <cell r="Y198">
            <v>0.28649999999999998</v>
          </cell>
          <cell r="Z198">
            <v>-3.880834588644186</v>
          </cell>
          <cell r="AA198">
            <v>-3.5512600000000001</v>
          </cell>
          <cell r="AB198">
            <v>-5.1899769947390118</v>
          </cell>
          <cell r="AC198" t="str">
            <v>BS-4,100</v>
          </cell>
          <cell r="AE198">
            <v>25.9</v>
          </cell>
          <cell r="AF198" t="str">
            <v>16/20</v>
          </cell>
          <cell r="AG198">
            <v>10.1</v>
          </cell>
          <cell r="AH198">
            <v>82.2</v>
          </cell>
          <cell r="AI198">
            <v>420</v>
          </cell>
          <cell r="AJ198">
            <v>3560.4758508221494</v>
          </cell>
          <cell r="AK198">
            <v>1</v>
          </cell>
          <cell r="AL198" t="str">
            <v>0.02417:-3.55126!30.30000</v>
          </cell>
          <cell r="AM198">
            <v>2.4170000000000001E-2</v>
          </cell>
          <cell r="AN198">
            <v>-3.5512600000000001</v>
          </cell>
          <cell r="AO198">
            <v>0.34897283582470129</v>
          </cell>
          <cell r="AP198">
            <v>30.3</v>
          </cell>
          <cell r="AQ198">
            <v>30.299999999999997</v>
          </cell>
          <cell r="AR198">
            <v>2.008082804080622</v>
          </cell>
          <cell r="AS198" t="str">
            <v/>
          </cell>
          <cell r="AT198">
            <v>0</v>
          </cell>
          <cell r="AU198" t="str">
            <v/>
          </cell>
          <cell r="AV198">
            <v>1</v>
          </cell>
          <cell r="AW198" t="str">
            <v>PROBLEM FRAC possible? KH prefrac Estimate is at least 50% higher than for a perfect frac</v>
          </cell>
          <cell r="AY198">
            <v>30.3</v>
          </cell>
        </row>
        <row r="199">
          <cell r="C199" t="str">
            <v>Prirazlomnoe!642</v>
          </cell>
          <cell r="E199" t="str">
            <v>642</v>
          </cell>
          <cell r="F199">
            <v>2527.8000000000002</v>
          </cell>
          <cell r="G199">
            <v>36687</v>
          </cell>
          <cell r="H199">
            <v>251.0754584</v>
          </cell>
          <cell r="I199">
            <v>100</v>
          </cell>
          <cell r="J199">
            <v>54.41940000000001</v>
          </cell>
          <cell r="K199">
            <v>61.7</v>
          </cell>
          <cell r="L199">
            <v>2</v>
          </cell>
          <cell r="M199">
            <v>98</v>
          </cell>
          <cell r="N199">
            <v>860</v>
          </cell>
          <cell r="O199">
            <v>163.102</v>
          </cell>
          <cell r="P199">
            <v>0</v>
          </cell>
          <cell r="R199">
            <v>0.70134789653784946</v>
          </cell>
          <cell r="S199">
            <v>0.70134789653784946</v>
          </cell>
          <cell r="T199">
            <v>164.32048463572593</v>
          </cell>
          <cell r="U199" t="str">
            <v>Old</v>
          </cell>
          <cell r="X199">
            <v>32.5</v>
          </cell>
          <cell r="Y199">
            <v>0.59470000000000001</v>
          </cell>
          <cell r="Z199">
            <v>1.2685927813515869</v>
          </cell>
          <cell r="AA199">
            <v>0</v>
          </cell>
          <cell r="AB199">
            <v>-4.9054417680916877</v>
          </cell>
          <cell r="AC199" t="str">
            <v>BS-4,99</v>
          </cell>
          <cell r="AE199">
            <v>42.9</v>
          </cell>
          <cell r="AF199" t="str">
            <v>16/30</v>
          </cell>
          <cell r="AG199">
            <v>26.2</v>
          </cell>
          <cell r="AH199">
            <v>65.900000000000006</v>
          </cell>
          <cell r="AI199">
            <v>420</v>
          </cell>
          <cell r="AJ199">
            <v>2971.8941743088999</v>
          </cell>
          <cell r="AK199">
            <v>1</v>
          </cell>
          <cell r="AL199" t="str">
            <v>0.00000:0.00000!164.32048</v>
          </cell>
          <cell r="AM199">
            <v>0</v>
          </cell>
          <cell r="AN199">
            <v>0</v>
          </cell>
          <cell r="AO199">
            <v>0</v>
          </cell>
          <cell r="AP199">
            <v>164.32048</v>
          </cell>
          <cell r="AQ199">
            <v>164.32048463572593</v>
          </cell>
          <cell r="AR199">
            <v>0.99999999999999989</v>
          </cell>
          <cell r="AS199" t="str">
            <v/>
          </cell>
          <cell r="AT199">
            <v>0</v>
          </cell>
          <cell r="AU199" t="str">
            <v/>
          </cell>
          <cell r="AV199">
            <v>0</v>
          </cell>
          <cell r="AW199" t="str">
            <v>Proppant Pack damage=0%</v>
          </cell>
          <cell r="AY199">
            <v>164.32048463572593</v>
          </cell>
        </row>
        <row r="200">
          <cell r="C200" t="str">
            <v>Prirazlomnoe!6598</v>
          </cell>
          <cell r="E200" t="str">
            <v>6598</v>
          </cell>
          <cell r="F200">
            <v>2529.85</v>
          </cell>
          <cell r="G200">
            <v>36683</v>
          </cell>
          <cell r="H200">
            <v>251.0754584</v>
          </cell>
          <cell r="I200">
            <v>100</v>
          </cell>
          <cell r="J200" t="str">
            <v/>
          </cell>
          <cell r="K200" t="str">
            <v/>
          </cell>
          <cell r="L200" t="str">
            <v/>
          </cell>
          <cell r="M200" t="str">
            <v/>
          </cell>
          <cell r="N200" t="str">
            <v/>
          </cell>
          <cell r="O200" t="str">
            <v/>
          </cell>
          <cell r="P200">
            <v>0</v>
          </cell>
          <cell r="Q200">
            <v>0.26889476123342687</v>
          </cell>
          <cell r="R200" t="str">
            <v/>
          </cell>
          <cell r="S200">
            <v>0.26889476123342687</v>
          </cell>
          <cell r="T200">
            <v>63</v>
          </cell>
          <cell r="U200" t="str">
            <v>Old</v>
          </cell>
          <cell r="X200">
            <v>63</v>
          </cell>
          <cell r="Y200">
            <v>0.44</v>
          </cell>
          <cell r="Z200">
            <v>-2.7509234812120225</v>
          </cell>
          <cell r="AA200">
            <v>-2.6831800000000001</v>
          </cell>
          <cell r="AB200">
            <v>-4.8310750908179827</v>
          </cell>
          <cell r="AC200" t="str">
            <v>BS-4,100</v>
          </cell>
          <cell r="AE200">
            <v>42.2</v>
          </cell>
          <cell r="AF200" t="str">
            <v>16/30</v>
          </cell>
          <cell r="AG200">
            <v>21</v>
          </cell>
          <cell r="AH200">
            <v>56.9</v>
          </cell>
          <cell r="AI200">
            <v>420</v>
          </cell>
          <cell r="AJ200">
            <v>4030.7175059219071</v>
          </cell>
          <cell r="AK200">
            <v>1</v>
          </cell>
          <cell r="AL200" t="str">
            <v>0.00833:-2.68318!63.00000</v>
          </cell>
          <cell r="AM200">
            <v>8.3300000000000006E-3</v>
          </cell>
          <cell r="AN200">
            <v>-2.6831800000000001</v>
          </cell>
          <cell r="AO200">
            <v>0.1966952362292296</v>
          </cell>
          <cell r="AP200">
            <v>63</v>
          </cell>
          <cell r="AQ200">
            <v>63</v>
          </cell>
          <cell r="AR200">
            <v>1.6110821859209354</v>
          </cell>
          <cell r="AS200" t="str">
            <v/>
          </cell>
          <cell r="AT200">
            <v>0</v>
          </cell>
          <cell r="AU200" t="str">
            <v/>
          </cell>
          <cell r="AV200">
            <v>1</v>
          </cell>
          <cell r="AW200" t="str">
            <v>PROBLEM FRAC possible? KH prefrac Estimate is at least 50% higher than for a perfect frac</v>
          </cell>
          <cell r="AY200">
            <v>63</v>
          </cell>
        </row>
        <row r="201">
          <cell r="C201" t="str">
            <v>Prirazlomnoe!6818</v>
          </cell>
          <cell r="E201" t="str">
            <v>6818</v>
          </cell>
          <cell r="F201">
            <v>2519.25</v>
          </cell>
          <cell r="G201">
            <v>36517</v>
          </cell>
          <cell r="H201">
            <v>216.9760216</v>
          </cell>
          <cell r="I201">
            <v>100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 t="str">
            <v/>
          </cell>
          <cell r="O201" t="str">
            <v/>
          </cell>
          <cell r="P201">
            <v>0</v>
          </cell>
          <cell r="Q201">
            <v>0.5138877659127713</v>
          </cell>
          <cell r="R201" t="str">
            <v/>
          </cell>
          <cell r="S201">
            <v>0.5138877659127713</v>
          </cell>
          <cell r="T201">
            <v>120.39999999999998</v>
          </cell>
          <cell r="U201" t="str">
            <v>New</v>
          </cell>
          <cell r="X201">
            <v>125</v>
          </cell>
          <cell r="Y201">
            <v>1.05</v>
          </cell>
          <cell r="Z201">
            <v>-3.6118882008723947</v>
          </cell>
          <cell r="AA201">
            <v>-4.9566800000000004</v>
          </cell>
          <cell r="AB201">
            <v>-4.7450716783212279</v>
          </cell>
          <cell r="AC201" t="str">
            <v>BS-4,93</v>
          </cell>
          <cell r="AE201">
            <v>33.4</v>
          </cell>
          <cell r="AF201" t="str">
            <v>16/30</v>
          </cell>
          <cell r="AG201">
            <v>17.2</v>
          </cell>
          <cell r="AH201">
            <v>64.7</v>
          </cell>
          <cell r="AI201">
            <v>420</v>
          </cell>
          <cell r="AJ201">
            <v>3425.4308990862392</v>
          </cell>
          <cell r="AK201">
            <v>1</v>
          </cell>
          <cell r="AL201" t="str">
            <v>1:-4.95668!73.63366</v>
          </cell>
          <cell r="AM201">
            <v>1</v>
          </cell>
          <cell r="AN201">
            <v>-4.9566800000000004</v>
          </cell>
          <cell r="AO201">
            <v>12.366960946844832</v>
          </cell>
          <cell r="AP201">
            <v>73.633660000000006</v>
          </cell>
          <cell r="AQ201">
            <v>120.39999999999998</v>
          </cell>
          <cell r="AR201">
            <v>2.0432515821749058</v>
          </cell>
          <cell r="AS201" t="str">
            <v/>
          </cell>
          <cell r="AT201">
            <v>0</v>
          </cell>
          <cell r="AU201" t="str">
            <v/>
          </cell>
          <cell r="AV201">
            <v>0</v>
          </cell>
          <cell r="AW201" t="str">
            <v>Prefrac  kh estimate acceptable</v>
          </cell>
          <cell r="AY201">
            <v>120.39999999999998</v>
          </cell>
        </row>
        <row r="202">
          <cell r="C202" t="str">
            <v>Prirazlomnoe!6820</v>
          </cell>
          <cell r="E202" t="str">
            <v>6820</v>
          </cell>
          <cell r="F202">
            <v>2528.0500000000002</v>
          </cell>
          <cell r="G202">
            <v>36833</v>
          </cell>
          <cell r="H202">
            <v>220</v>
          </cell>
          <cell r="I202">
            <v>100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 t="str">
            <v/>
          </cell>
          <cell r="O202" t="str">
            <v/>
          </cell>
          <cell r="P202">
            <v>0</v>
          </cell>
          <cell r="Q202">
            <v>0.12996580126282301</v>
          </cell>
          <cell r="R202" t="str">
            <v/>
          </cell>
          <cell r="S202">
            <v>0.12996580126282301</v>
          </cell>
          <cell r="T202">
            <v>30.450000000000006</v>
          </cell>
          <cell r="U202" t="str">
            <v>Old</v>
          </cell>
          <cell r="X202">
            <v>34.33</v>
          </cell>
          <cell r="Y202">
            <v>0.25679999999999997</v>
          </cell>
          <cell r="Z202">
            <v>-3.4938900218725895</v>
          </cell>
          <cell r="AA202">
            <v>-2.78973</v>
          </cell>
          <cell r="AB202">
            <v>-4.9452532428540827</v>
          </cell>
          <cell r="AC202" t="str">
            <v>BS-4,98</v>
          </cell>
          <cell r="AE202">
            <v>36.78</v>
          </cell>
          <cell r="AF202" t="str">
            <v>16/30</v>
          </cell>
          <cell r="AG202">
            <v>20.3</v>
          </cell>
          <cell r="AH202">
            <v>61.5</v>
          </cell>
          <cell r="AI202">
            <v>420</v>
          </cell>
          <cell r="AJ202">
            <v>3362.3432186345854</v>
          </cell>
          <cell r="AK202">
            <v>1</v>
          </cell>
          <cell r="AL202" t="str">
            <v>0.00557:-2.78973!30.45000</v>
          </cell>
          <cell r="AM202">
            <v>5.5700000000000003E-3</v>
          </cell>
          <cell r="AN202">
            <v>-2.78973</v>
          </cell>
          <cell r="AO202">
            <v>0.20301627889208287</v>
          </cell>
          <cell r="AP202">
            <v>30.45</v>
          </cell>
          <cell r="AQ202">
            <v>30.450000000000006</v>
          </cell>
          <cell r="AR202">
            <v>1.6511494467100305</v>
          </cell>
          <cell r="AS202" t="str">
            <v/>
          </cell>
          <cell r="AT202">
            <v>0</v>
          </cell>
          <cell r="AU202" t="str">
            <v/>
          </cell>
          <cell r="AV202">
            <v>1</v>
          </cell>
          <cell r="AW202" t="str">
            <v>PROBLEM FRAC possible? KH prefrac Estimate is at least 50% higher than for a perfect frac</v>
          </cell>
          <cell r="AY202">
            <v>30.450000000000006</v>
          </cell>
        </row>
        <row r="203">
          <cell r="C203" t="str">
            <v>Prirazlomnoe!6834</v>
          </cell>
          <cell r="E203" t="str">
            <v>6834</v>
          </cell>
          <cell r="F203">
            <v>2532.9499999999998</v>
          </cell>
          <cell r="G203">
            <v>36531</v>
          </cell>
          <cell r="H203">
            <v>216.9760216</v>
          </cell>
          <cell r="I203">
            <v>100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 t="str">
            <v/>
          </cell>
          <cell r="P203">
            <v>0</v>
          </cell>
          <cell r="Q203">
            <v>0.51858275380732322</v>
          </cell>
          <cell r="R203" t="str">
            <v/>
          </cell>
          <cell r="S203">
            <v>0.51858275380732322</v>
          </cell>
          <cell r="T203">
            <v>121.50000000000001</v>
          </cell>
          <cell r="U203" t="str">
            <v>New</v>
          </cell>
          <cell r="X203">
            <v>105</v>
          </cell>
          <cell r="Y203">
            <v>0.71419999999999995</v>
          </cell>
          <cell r="Z203">
            <v>-1.9375600673256761</v>
          </cell>
          <cell r="AA203">
            <v>-1.93787</v>
          </cell>
          <cell r="AB203">
            <v>-4.6830205678023029</v>
          </cell>
          <cell r="AC203" t="str">
            <v>BS-4,99</v>
          </cell>
          <cell r="AE203">
            <v>32</v>
          </cell>
          <cell r="AF203" t="str">
            <v>16/30</v>
          </cell>
          <cell r="AG203">
            <v>27</v>
          </cell>
          <cell r="AH203">
            <v>58</v>
          </cell>
          <cell r="AI203">
            <v>420</v>
          </cell>
          <cell r="AJ203">
            <v>2518.7406296851577</v>
          </cell>
          <cell r="AK203">
            <v>1</v>
          </cell>
          <cell r="AL203" t="str">
            <v>0.01010:-1.93787!121.50000</v>
          </cell>
          <cell r="AM203">
            <v>1.01E-2</v>
          </cell>
          <cell r="AN203">
            <v>-1.93787</v>
          </cell>
          <cell r="AO203">
            <v>9.7468507125747478E-2</v>
          </cell>
          <cell r="AP203">
            <v>121.5</v>
          </cell>
          <cell r="AQ203">
            <v>121.50000000000001</v>
          </cell>
          <cell r="AR203">
            <v>1.3772982070520836</v>
          </cell>
          <cell r="AS203" t="str">
            <v/>
          </cell>
          <cell r="AT203">
            <v>0</v>
          </cell>
          <cell r="AU203" t="str">
            <v/>
          </cell>
          <cell r="AV203">
            <v>1</v>
          </cell>
          <cell r="AW203" t="str">
            <v>PROBLEM FRAC possible? KH prefrac Estimate is at least 50% higher than for a perfect frac</v>
          </cell>
          <cell r="AY203">
            <v>121.50000000000001</v>
          </cell>
        </row>
        <row r="204">
          <cell r="C204" t="str">
            <v>Prirazlomnoe!6835</v>
          </cell>
          <cell r="E204" t="str">
            <v>6835</v>
          </cell>
          <cell r="F204">
            <v>2514.25</v>
          </cell>
          <cell r="G204">
            <v>36524</v>
          </cell>
          <cell r="H204">
            <v>216.9760216</v>
          </cell>
          <cell r="I204">
            <v>100</v>
          </cell>
          <cell r="J204" t="str">
            <v/>
          </cell>
          <cell r="K204" t="str">
            <v/>
          </cell>
          <cell r="L204" t="str">
            <v/>
          </cell>
          <cell r="M204" t="str">
            <v/>
          </cell>
          <cell r="N204" t="str">
            <v/>
          </cell>
          <cell r="O204" t="str">
            <v/>
          </cell>
          <cell r="P204">
            <v>0</v>
          </cell>
          <cell r="Q204">
            <v>0.25182207798051087</v>
          </cell>
          <cell r="R204" t="str">
            <v/>
          </cell>
          <cell r="S204">
            <v>0.25182207798051087</v>
          </cell>
          <cell r="T204">
            <v>58.999999999999993</v>
          </cell>
          <cell r="U204" t="str">
            <v>New</v>
          </cell>
          <cell r="X204">
            <v>102</v>
          </cell>
          <cell r="Y204">
            <v>0.41870000000000002</v>
          </cell>
          <cell r="Z204">
            <v>-2.8194461393884751</v>
          </cell>
          <cell r="AA204">
            <v>-2.8195100000000002</v>
          </cell>
          <cell r="AB204">
            <v>-4.8477296380890973</v>
          </cell>
          <cell r="AC204" t="str">
            <v>BS-4,99</v>
          </cell>
          <cell r="AE204">
            <v>30.9</v>
          </cell>
          <cell r="AF204" t="str">
            <v>16/30</v>
          </cell>
          <cell r="AG204">
            <v>11.8</v>
          </cell>
          <cell r="AH204">
            <v>60.8</v>
          </cell>
          <cell r="AI204">
            <v>420</v>
          </cell>
          <cell r="AJ204">
            <v>4915.5754276073376</v>
          </cell>
          <cell r="AK204">
            <v>1</v>
          </cell>
          <cell r="AL204" t="str">
            <v>0.01317:-2.81951!59.00000</v>
          </cell>
          <cell r="AM204">
            <v>1.3169999999999999E-2</v>
          </cell>
          <cell r="AN204">
            <v>-2.8195100000000002</v>
          </cell>
          <cell r="AO204">
            <v>0.21295436967627845</v>
          </cell>
          <cell r="AP204">
            <v>59</v>
          </cell>
          <cell r="AQ204">
            <v>58.999999999999993</v>
          </cell>
          <cell r="AR204">
            <v>1.662706812871124</v>
          </cell>
          <cell r="AS204" t="str">
            <v/>
          </cell>
          <cell r="AT204">
            <v>0</v>
          </cell>
          <cell r="AU204" t="str">
            <v/>
          </cell>
          <cell r="AV204">
            <v>1</v>
          </cell>
          <cell r="AW204" t="str">
            <v>PROBLEM FRAC possible? KH prefrac Estimate is at least 50% higher than for a perfect frac</v>
          </cell>
          <cell r="AY204">
            <v>59</v>
          </cell>
        </row>
        <row r="205">
          <cell r="C205" t="str">
            <v>Prirazlomnoe!6836</v>
          </cell>
          <cell r="E205" t="str">
            <v>6836</v>
          </cell>
          <cell r="F205">
            <v>2527.9499999999998</v>
          </cell>
          <cell r="G205">
            <v>36717</v>
          </cell>
          <cell r="H205">
            <v>214.9161872</v>
          </cell>
          <cell r="I205">
            <v>100</v>
          </cell>
          <cell r="J205" t="str">
            <v/>
          </cell>
          <cell r="K205" t="str">
            <v/>
          </cell>
          <cell r="L205" t="str">
            <v/>
          </cell>
          <cell r="M205" t="str">
            <v/>
          </cell>
          <cell r="N205" t="str">
            <v/>
          </cell>
          <cell r="O205" t="str">
            <v/>
          </cell>
          <cell r="P205">
            <v>0</v>
          </cell>
          <cell r="Q205">
            <v>0.29322333486883212</v>
          </cell>
          <cell r="R205" t="str">
            <v/>
          </cell>
          <cell r="S205">
            <v>0.29322333486883212</v>
          </cell>
          <cell r="T205">
            <v>68.699999999999989</v>
          </cell>
          <cell r="U205" t="str">
            <v>New</v>
          </cell>
          <cell r="X205">
            <v>115</v>
          </cell>
          <cell r="Y205">
            <v>2.4500000000000002</v>
          </cell>
          <cell r="Z205">
            <v>-6.2274030058281937</v>
          </cell>
          <cell r="AA205">
            <v>-4.7930400000000004</v>
          </cell>
          <cell r="AB205">
            <v>-4.8430291319665546</v>
          </cell>
          <cell r="AC205" t="str">
            <v>BS-4,100</v>
          </cell>
          <cell r="AE205">
            <v>39.9</v>
          </cell>
          <cell r="AF205" t="str">
            <v>16/30</v>
          </cell>
          <cell r="AG205">
            <v>22.9</v>
          </cell>
          <cell r="AH205">
            <v>59.1</v>
          </cell>
          <cell r="AI205">
            <v>420</v>
          </cell>
          <cell r="AJ205">
            <v>3364.7391718766112</v>
          </cell>
          <cell r="AK205">
            <v>1</v>
          </cell>
          <cell r="AL205" t="str">
            <v>1:-4.79304!185.08968</v>
          </cell>
          <cell r="AM205">
            <v>1</v>
          </cell>
          <cell r="AN205">
            <v>-4.7930400000000004</v>
          </cell>
          <cell r="AO205">
            <v>7.0439651896099615</v>
          </cell>
          <cell r="AP205">
            <v>185.08967999999999</v>
          </cell>
          <cell r="AQ205">
            <v>68.699999999999989</v>
          </cell>
          <cell r="AR205">
            <v>8.3553936935503987</v>
          </cell>
          <cell r="AS205">
            <v>11.984657227202916</v>
          </cell>
          <cell r="AT205">
            <v>0</v>
          </cell>
          <cell r="AU205" t="str">
            <v/>
          </cell>
          <cell r="AV205">
            <v>0</v>
          </cell>
          <cell r="AW205" t="str">
            <v>Prefrac kh estimate too low by 269%</v>
          </cell>
          <cell r="AY205">
            <v>185.08967999999999</v>
          </cell>
        </row>
        <row r="206">
          <cell r="C206" t="str">
            <v>Prirazlomnoe!6837</v>
          </cell>
          <cell r="E206" t="str">
            <v>6837</v>
          </cell>
          <cell r="F206">
            <v>2581.5</v>
          </cell>
          <cell r="G206">
            <v>36774</v>
          </cell>
          <cell r="H206">
            <v>254</v>
          </cell>
          <cell r="I206">
            <v>100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 t="str">
            <v/>
          </cell>
          <cell r="P206">
            <v>0</v>
          </cell>
          <cell r="Q206">
            <v>0.27743110285988487</v>
          </cell>
          <cell r="R206" t="str">
            <v/>
          </cell>
          <cell r="S206">
            <v>0.27743110285988487</v>
          </cell>
          <cell r="T206">
            <v>65</v>
          </cell>
          <cell r="U206" t="str">
            <v>New</v>
          </cell>
          <cell r="X206">
            <v>35</v>
          </cell>
          <cell r="Y206">
            <v>0.61199999999999999</v>
          </cell>
          <cell r="Z206">
            <v>-3.8672479937428434</v>
          </cell>
          <cell r="AA206">
            <v>-3.7642699999999998</v>
          </cell>
          <cell r="AB206">
            <v>-4.9592438177578106</v>
          </cell>
          <cell r="AC206" t="str">
            <v>BS-4,100</v>
          </cell>
          <cell r="AE206">
            <v>29.82</v>
          </cell>
          <cell r="AF206" t="str">
            <v>16/30</v>
          </cell>
          <cell r="AG206">
            <v>13</v>
          </cell>
          <cell r="AH206">
            <v>78.3</v>
          </cell>
          <cell r="AI206">
            <v>420</v>
          </cell>
          <cell r="AJ206">
            <v>3343.5205474185982</v>
          </cell>
          <cell r="AK206">
            <v>1</v>
          </cell>
          <cell r="AL206" t="str">
            <v>0.05545:-3.76427!65.00000</v>
          </cell>
          <cell r="AM206">
            <v>5.5449999999999999E-2</v>
          </cell>
          <cell r="AN206">
            <v>-3.7642699999999998</v>
          </cell>
          <cell r="AO206">
            <v>0.47355865735469033</v>
          </cell>
          <cell r="AP206">
            <v>65</v>
          </cell>
          <cell r="AQ206">
            <v>65</v>
          </cell>
          <cell r="AR206">
            <v>2.1373186546923222</v>
          </cell>
          <cell r="AS206" t="str">
            <v/>
          </cell>
          <cell r="AT206">
            <v>0</v>
          </cell>
          <cell r="AU206" t="str">
            <v/>
          </cell>
          <cell r="AV206">
            <v>1</v>
          </cell>
          <cell r="AW206" t="str">
            <v>PROBLEM FRAC possible? KH prefrac Estimate is at least 50% higher than for a perfect frac</v>
          </cell>
          <cell r="AY206">
            <v>65</v>
          </cell>
        </row>
        <row r="207">
          <cell r="C207" t="str">
            <v>Prirazlomnoe!6838</v>
          </cell>
          <cell r="E207" t="str">
            <v>6838</v>
          </cell>
          <cell r="F207">
            <v>2502.15</v>
          </cell>
          <cell r="G207">
            <v>36803</v>
          </cell>
          <cell r="H207">
            <v>254</v>
          </cell>
          <cell r="I207">
            <v>100</v>
          </cell>
          <cell r="J207" t="str">
            <v/>
          </cell>
          <cell r="K207" t="str">
            <v/>
          </cell>
          <cell r="L207" t="str">
            <v/>
          </cell>
          <cell r="M207" t="str">
            <v/>
          </cell>
          <cell r="N207" t="str">
            <v/>
          </cell>
          <cell r="O207" t="str">
            <v/>
          </cell>
          <cell r="P207">
            <v>0</v>
          </cell>
          <cell r="Q207">
            <v>0.15493460052021263</v>
          </cell>
          <cell r="R207" t="str">
            <v/>
          </cell>
          <cell r="S207">
            <v>0.15493460052021263</v>
          </cell>
          <cell r="T207">
            <v>36.300000000000004</v>
          </cell>
          <cell r="U207" t="str">
            <v>Old</v>
          </cell>
          <cell r="X207">
            <v>26</v>
          </cell>
          <cell r="Y207">
            <v>0.79630000000000001</v>
          </cell>
          <cell r="Z207">
            <v>-5.6976621194163526</v>
          </cell>
          <cell r="AA207">
            <v>-4.8973899999999997</v>
          </cell>
          <cell r="AB207">
            <v>-4.8461305979804479</v>
          </cell>
          <cell r="AC207" t="str">
            <v>BS-4,99</v>
          </cell>
          <cell r="AE207">
            <v>29.640999999999998</v>
          </cell>
          <cell r="AF207" t="str">
            <v>20/40</v>
          </cell>
          <cell r="AG207">
            <v>12.1</v>
          </cell>
          <cell r="AH207">
            <v>61.7</v>
          </cell>
          <cell r="AI207">
            <v>250</v>
          </cell>
          <cell r="AJ207">
            <v>2697.2084215871892</v>
          </cell>
          <cell r="AK207">
            <v>1</v>
          </cell>
          <cell r="AL207" t="str">
            <v>1:-4.89739!48.23531</v>
          </cell>
          <cell r="AM207">
            <v>1</v>
          </cell>
          <cell r="AN207">
            <v>-4.8973899999999997</v>
          </cell>
          <cell r="AO207">
            <v>10.966035293459754</v>
          </cell>
          <cell r="AP207">
            <v>48.235309999999998</v>
          </cell>
          <cell r="AQ207">
            <v>36.300000000000004</v>
          </cell>
          <cell r="AR207">
            <v>4.3185358450271787</v>
          </cell>
          <cell r="AS207">
            <v>2.3259209943204739</v>
          </cell>
          <cell r="AT207">
            <v>0</v>
          </cell>
          <cell r="AU207" t="str">
            <v/>
          </cell>
          <cell r="AV207">
            <v>0</v>
          </cell>
          <cell r="AW207" t="str">
            <v>Prefrac  kh estimate acceptable</v>
          </cell>
          <cell r="AY207">
            <v>48.235309999999998</v>
          </cell>
        </row>
        <row r="208">
          <cell r="C208" t="str">
            <v>Prirazlomnoe!6854</v>
          </cell>
          <cell r="E208" t="str">
            <v>6854</v>
          </cell>
          <cell r="F208">
            <v>2575.6</v>
          </cell>
          <cell r="G208">
            <v>36755</v>
          </cell>
          <cell r="H208">
            <v>240</v>
          </cell>
          <cell r="I208">
            <v>100</v>
          </cell>
          <cell r="J208" t="str">
            <v/>
          </cell>
          <cell r="K208" t="str">
            <v/>
          </cell>
          <cell r="L208" t="str">
            <v/>
          </cell>
          <cell r="M208" t="str">
            <v/>
          </cell>
          <cell r="N208" t="str">
            <v/>
          </cell>
          <cell r="O208" t="str">
            <v/>
          </cell>
          <cell r="P208">
            <v>0</v>
          </cell>
          <cell r="Q208">
            <v>0.13764850872663517</v>
          </cell>
          <cell r="R208" t="str">
            <v/>
          </cell>
          <cell r="S208">
            <v>0.13764850872663517</v>
          </cell>
          <cell r="T208">
            <v>32.249999999999993</v>
          </cell>
          <cell r="U208" t="str">
            <v>New</v>
          </cell>
          <cell r="X208">
            <v>61</v>
          </cell>
          <cell r="Y208">
            <v>4.2300000000000004</v>
          </cell>
          <cell r="Z208">
            <v>-6.8438493479584261</v>
          </cell>
          <cell r="AA208">
            <v>-4.6255199999999999</v>
          </cell>
          <cell r="AB208">
            <v>-5.2901839157089139</v>
          </cell>
          <cell r="AC208" t="str">
            <v>BS-4,99</v>
          </cell>
          <cell r="AE208">
            <v>34.880000000000003</v>
          </cell>
          <cell r="AF208" t="str">
            <v>16/30</v>
          </cell>
          <cell r="AG208">
            <v>12.9</v>
          </cell>
          <cell r="AH208">
            <v>104</v>
          </cell>
          <cell r="AI208">
            <v>420</v>
          </cell>
          <cell r="AJ208">
            <v>2967.2551917243522</v>
          </cell>
          <cell r="AK208">
            <v>1</v>
          </cell>
          <cell r="AL208" t="str">
            <v>1:-4.62552!343.03259</v>
          </cell>
          <cell r="AM208">
            <v>1</v>
          </cell>
          <cell r="AN208">
            <v>-4.6255199999999999</v>
          </cell>
          <cell r="AO208">
            <v>1.0729411131854887</v>
          </cell>
          <cell r="AP208">
            <v>343.03259000000003</v>
          </cell>
          <cell r="AQ208">
            <v>32.249999999999993</v>
          </cell>
          <cell r="AR208">
            <v>30.730443054330042</v>
          </cell>
          <cell r="AS208">
            <v>68.170243132808906</v>
          </cell>
          <cell r="AT208">
            <v>0</v>
          </cell>
          <cell r="AU208" t="str">
            <v/>
          </cell>
          <cell r="AV208">
            <v>0</v>
          </cell>
          <cell r="AW208" t="str">
            <v>Prefrac kh estimate too low by 1064%</v>
          </cell>
          <cell r="AY208">
            <v>343.03259000000003</v>
          </cell>
        </row>
        <row r="209">
          <cell r="C209" t="str">
            <v>Prirazlomnoe!6855</v>
          </cell>
          <cell r="E209" t="str">
            <v>6855</v>
          </cell>
          <cell r="F209">
            <v>2530.9</v>
          </cell>
          <cell r="G209">
            <v>36727</v>
          </cell>
          <cell r="H209">
            <v>209.74620680000001</v>
          </cell>
          <cell r="I209">
            <v>100</v>
          </cell>
          <cell r="J209" t="str">
            <v/>
          </cell>
          <cell r="K209" t="str">
            <v/>
          </cell>
          <cell r="L209" t="str">
            <v/>
          </cell>
          <cell r="M209" t="str">
            <v/>
          </cell>
          <cell r="N209" t="str">
            <v/>
          </cell>
          <cell r="O209" t="str">
            <v/>
          </cell>
          <cell r="P209">
            <v>0</v>
          </cell>
          <cell r="Q209">
            <v>0.25096844381786509</v>
          </cell>
          <cell r="R209" t="str">
            <v/>
          </cell>
          <cell r="S209">
            <v>0.25096844381786509</v>
          </cell>
          <cell r="T209">
            <v>58.800000000000004</v>
          </cell>
          <cell r="U209" t="str">
            <v>New</v>
          </cell>
          <cell r="X209">
            <v>138</v>
          </cell>
          <cell r="Y209">
            <v>0.63929999999999998</v>
          </cell>
          <cell r="Z209">
            <v>-4.2970049990612349</v>
          </cell>
          <cell r="AA209">
            <v>-4.7795800000000002</v>
          </cell>
          <cell r="AB209">
            <v>-4.7061826145972265</v>
          </cell>
          <cell r="AC209" t="str">
            <v>BS-4,100</v>
          </cell>
          <cell r="AE209">
            <v>27.192</v>
          </cell>
          <cell r="AF209" t="str">
            <v>16/30</v>
          </cell>
          <cell r="AG209">
            <v>19.600000000000001</v>
          </cell>
          <cell r="AH209">
            <v>50.9</v>
          </cell>
          <cell r="AI209">
            <v>420</v>
          </cell>
          <cell r="AJ209">
            <v>3110.7762144748563</v>
          </cell>
          <cell r="AK209">
            <v>1</v>
          </cell>
          <cell r="AL209" t="str">
            <v>1:-4.77958!48.58225</v>
          </cell>
          <cell r="AM209">
            <v>1</v>
          </cell>
          <cell r="AN209">
            <v>-4.7795800000000002</v>
          </cell>
          <cell r="AO209">
            <v>24.656386779836645</v>
          </cell>
          <cell r="AP209">
            <v>48.582250000000002</v>
          </cell>
          <cell r="AQ209">
            <v>58.800000000000004</v>
          </cell>
          <cell r="AR209">
            <v>2.5473378577778814</v>
          </cell>
          <cell r="AS209" t="str">
            <v/>
          </cell>
          <cell r="AT209">
            <v>0</v>
          </cell>
          <cell r="AU209" t="str">
            <v/>
          </cell>
          <cell r="AV209">
            <v>0</v>
          </cell>
          <cell r="AW209" t="str">
            <v>Prefrac  kh estimate acceptable</v>
          </cell>
          <cell r="AY209">
            <v>58.800000000000004</v>
          </cell>
        </row>
        <row r="210">
          <cell r="C210" t="str">
            <v>Prirazlomnoe!6856</v>
          </cell>
          <cell r="E210" t="str">
            <v>6856</v>
          </cell>
          <cell r="F210">
            <v>2531</v>
          </cell>
          <cell r="G210">
            <v>36592</v>
          </cell>
          <cell r="H210">
            <v>216.9760216</v>
          </cell>
          <cell r="I210">
            <v>100</v>
          </cell>
          <cell r="J210" t="str">
            <v/>
          </cell>
          <cell r="K210" t="str">
            <v/>
          </cell>
          <cell r="L210" t="str">
            <v/>
          </cell>
          <cell r="M210" t="str">
            <v/>
          </cell>
          <cell r="N210" t="str">
            <v/>
          </cell>
          <cell r="O210" t="str">
            <v/>
          </cell>
          <cell r="P210">
            <v>0</v>
          </cell>
          <cell r="Q210">
            <v>0.22194488228790787</v>
          </cell>
          <cell r="R210" t="str">
            <v/>
          </cell>
          <cell r="S210">
            <v>0.22194488228790787</v>
          </cell>
          <cell r="T210">
            <v>51.999999999999993</v>
          </cell>
          <cell r="U210" t="str">
            <v>New</v>
          </cell>
          <cell r="X210">
            <v>39</v>
          </cell>
          <cell r="Y210">
            <v>0.1517</v>
          </cell>
          <cell r="Z210">
            <v>3.2756462052198048</v>
          </cell>
          <cell r="AA210">
            <v>0</v>
          </cell>
          <cell r="AB210">
            <v>-4.6585220954795927</v>
          </cell>
          <cell r="AC210" t="str">
            <v>BS-4,100</v>
          </cell>
          <cell r="AE210">
            <v>34.6</v>
          </cell>
          <cell r="AF210" t="str">
            <v>16/30</v>
          </cell>
          <cell r="AG210">
            <v>26</v>
          </cell>
          <cell r="AH210">
            <v>45.8</v>
          </cell>
          <cell r="AI210">
            <v>420</v>
          </cell>
          <cell r="AJ210">
            <v>3448.8323523827603</v>
          </cell>
          <cell r="AK210">
            <v>1</v>
          </cell>
          <cell r="AL210" t="str">
            <v>0.00000:0.00000!52.00000</v>
          </cell>
          <cell r="AM210">
            <v>0</v>
          </cell>
          <cell r="AN210">
            <v>0</v>
          </cell>
          <cell r="AO210">
            <v>0</v>
          </cell>
          <cell r="AP210">
            <v>52</v>
          </cell>
          <cell r="AQ210">
            <v>51.999999999999993</v>
          </cell>
          <cell r="AR210">
            <v>0.99999999999999989</v>
          </cell>
          <cell r="AS210" t="str">
            <v/>
          </cell>
          <cell r="AT210">
            <v>0</v>
          </cell>
          <cell r="AU210" t="str">
            <v/>
          </cell>
          <cell r="AV210">
            <v>1</v>
          </cell>
          <cell r="AW210" t="str">
            <v>PROBLEM FRAC possible? KH prefrac Estimate is at least 50% higher than for a perfect frac</v>
          </cell>
          <cell r="AY210">
            <v>52</v>
          </cell>
        </row>
        <row r="211">
          <cell r="C211" t="str">
            <v>Prirazlomnoe!6857</v>
          </cell>
          <cell r="E211" t="str">
            <v>6857</v>
          </cell>
          <cell r="F211">
            <v>2511.75</v>
          </cell>
          <cell r="G211">
            <v>36554</v>
          </cell>
          <cell r="H211">
            <v>216.9760216</v>
          </cell>
          <cell r="I211">
            <v>100</v>
          </cell>
          <cell r="J211" t="str">
            <v/>
          </cell>
          <cell r="K211" t="str">
            <v/>
          </cell>
          <cell r="L211" t="str">
            <v/>
          </cell>
          <cell r="M211" t="str">
            <v/>
          </cell>
          <cell r="N211" t="str">
            <v/>
          </cell>
          <cell r="O211" t="str">
            <v/>
          </cell>
          <cell r="P211">
            <v>0</v>
          </cell>
          <cell r="Q211">
            <v>0.70424818418278456</v>
          </cell>
          <cell r="R211" t="str">
            <v/>
          </cell>
          <cell r="S211">
            <v>0.70424818418278456</v>
          </cell>
          <cell r="T211">
            <v>164.99999999999997</v>
          </cell>
          <cell r="U211" t="str">
            <v>New</v>
          </cell>
          <cell r="X211">
            <v>143</v>
          </cell>
          <cell r="Y211">
            <v>0.41589999999999999</v>
          </cell>
          <cell r="Z211">
            <v>4.9045162828946447</v>
          </cell>
          <cell r="AA211">
            <v>0</v>
          </cell>
          <cell r="AB211">
            <v>-4.6480159563809327</v>
          </cell>
          <cell r="AC211" t="str">
            <v>BS-4,100</v>
          </cell>
          <cell r="AE211">
            <v>31.6</v>
          </cell>
          <cell r="AF211" t="str">
            <v>16/30</v>
          </cell>
          <cell r="AG211">
            <v>16.5</v>
          </cell>
          <cell r="AH211">
            <v>81.5</v>
          </cell>
          <cell r="AI211">
            <v>420</v>
          </cell>
          <cell r="AJ211">
            <v>2681.9273018259414</v>
          </cell>
          <cell r="AK211">
            <v>1</v>
          </cell>
          <cell r="AL211" t="str">
            <v>0.00000:0.00000!165.00000</v>
          </cell>
          <cell r="AM211">
            <v>0</v>
          </cell>
          <cell r="AN211">
            <v>0</v>
          </cell>
          <cell r="AO211">
            <v>0</v>
          </cell>
          <cell r="AP211">
            <v>165</v>
          </cell>
          <cell r="AQ211">
            <v>164.99999999999997</v>
          </cell>
          <cell r="AR211">
            <v>0.99999999999999989</v>
          </cell>
          <cell r="AS211" t="str">
            <v/>
          </cell>
          <cell r="AT211">
            <v>0</v>
          </cell>
          <cell r="AU211" t="str">
            <v/>
          </cell>
          <cell r="AV211">
            <v>1</v>
          </cell>
          <cell r="AW211" t="str">
            <v>PROBLEM FRAC possible? KH prefrac Estimate is at least 50% higher than for a perfect frac</v>
          </cell>
          <cell r="AY211">
            <v>165</v>
          </cell>
        </row>
        <row r="212">
          <cell r="C212" t="str">
            <v>Prirazlomnoe!6858</v>
          </cell>
          <cell r="E212" t="str">
            <v>6858</v>
          </cell>
          <cell r="F212">
            <v>2530.8000000000002</v>
          </cell>
          <cell r="G212">
            <v>36746</v>
          </cell>
          <cell r="H212">
            <v>208.71628960000001</v>
          </cell>
          <cell r="I212">
            <v>100</v>
          </cell>
          <cell r="J212" t="str">
            <v/>
          </cell>
          <cell r="K212" t="str">
            <v/>
          </cell>
          <cell r="L212" t="str">
            <v/>
          </cell>
          <cell r="M212" t="str">
            <v/>
          </cell>
          <cell r="N212" t="str">
            <v/>
          </cell>
          <cell r="O212" t="str">
            <v/>
          </cell>
          <cell r="P212">
            <v>0</v>
          </cell>
          <cell r="Q212">
            <v>0.4110248493139525</v>
          </cell>
          <cell r="R212" t="str">
            <v/>
          </cell>
          <cell r="S212">
            <v>0.4110248493139525</v>
          </cell>
          <cell r="T212">
            <v>96.300000000000011</v>
          </cell>
          <cell r="U212" t="str">
            <v>New</v>
          </cell>
          <cell r="X212">
            <v>77</v>
          </cell>
          <cell r="Y212">
            <v>0.26140000000000002</v>
          </cell>
          <cell r="Z212">
            <v>4.0491701163517204</v>
          </cell>
          <cell r="AA212">
            <v>0</v>
          </cell>
          <cell r="AB212">
            <v>-4.8660006527376698</v>
          </cell>
          <cell r="AC212" t="str">
            <v>BS-4,73</v>
          </cell>
          <cell r="AE212">
            <v>20</v>
          </cell>
          <cell r="AF212" t="str">
            <v>16/20</v>
          </cell>
          <cell r="AG212">
            <v>32.1</v>
          </cell>
          <cell r="AH212">
            <v>72.3</v>
          </cell>
          <cell r="AI212">
            <v>420</v>
          </cell>
          <cell r="AJ212">
            <v>1262.8540501533464</v>
          </cell>
          <cell r="AK212">
            <v>1</v>
          </cell>
          <cell r="AL212" t="str">
            <v>0.00000:0.00000!96.30000</v>
          </cell>
          <cell r="AM212">
            <v>0</v>
          </cell>
          <cell r="AN212">
            <v>0</v>
          </cell>
          <cell r="AO212">
            <v>0</v>
          </cell>
          <cell r="AP212">
            <v>96.3</v>
          </cell>
          <cell r="AQ212">
            <v>96.300000000000011</v>
          </cell>
          <cell r="AR212">
            <v>1</v>
          </cell>
          <cell r="AS212" t="str">
            <v/>
          </cell>
          <cell r="AT212">
            <v>0</v>
          </cell>
          <cell r="AU212" t="str">
            <v/>
          </cell>
          <cell r="AV212">
            <v>1</v>
          </cell>
          <cell r="AW212" t="str">
            <v>PROBLEM FRAC possible? KH prefrac Estimate is at least 50% higher than for a perfect frac</v>
          </cell>
          <cell r="AY212">
            <v>96.300000000000011</v>
          </cell>
        </row>
        <row r="213">
          <cell r="C213" t="str">
            <v>Prirazlomnoe!6870</v>
          </cell>
          <cell r="E213" t="str">
            <v>6870</v>
          </cell>
          <cell r="F213">
            <v>2584.6</v>
          </cell>
          <cell r="G213">
            <v>36766</v>
          </cell>
          <cell r="H213">
            <v>254</v>
          </cell>
          <cell r="I213">
            <v>100</v>
          </cell>
          <cell r="J213" t="str">
            <v/>
          </cell>
          <cell r="K213" t="str">
            <v/>
          </cell>
          <cell r="L213" t="str">
            <v/>
          </cell>
          <cell r="M213" t="str">
            <v/>
          </cell>
          <cell r="N213" t="str">
            <v/>
          </cell>
          <cell r="O213" t="str">
            <v/>
          </cell>
          <cell r="P213">
            <v>0</v>
          </cell>
          <cell r="Q213">
            <v>0.29877195692602981</v>
          </cell>
          <cell r="R213" t="str">
            <v/>
          </cell>
          <cell r="S213">
            <v>0.29877195692602981</v>
          </cell>
          <cell r="T213">
            <v>70</v>
          </cell>
          <cell r="U213" t="str">
            <v>New</v>
          </cell>
          <cell r="X213">
            <v>36</v>
          </cell>
          <cell r="Y213">
            <v>0.85</v>
          </cell>
          <cell r="Z213">
            <v>-4.5875441637406338</v>
          </cell>
          <cell r="AA213">
            <v>-5.1575499999999996</v>
          </cell>
          <cell r="AB213">
            <v>-5.0007439601254795</v>
          </cell>
          <cell r="AC213" t="str">
            <v>BS-4,100</v>
          </cell>
          <cell r="AE213">
            <v>38.04</v>
          </cell>
          <cell r="AF213" t="str">
            <v>16/30</v>
          </cell>
          <cell r="AG213">
            <v>14</v>
          </cell>
          <cell r="AH213">
            <v>78.2</v>
          </cell>
          <cell r="AI213">
            <v>420</v>
          </cell>
          <cell r="AJ213">
            <v>3965.5843433781824</v>
          </cell>
          <cell r="AK213">
            <v>1</v>
          </cell>
          <cell r="AL213" t="str">
            <v>1:-5.15755!46.19241</v>
          </cell>
          <cell r="AM213">
            <v>1</v>
          </cell>
          <cell r="AN213">
            <v>-5.1575499999999996</v>
          </cell>
          <cell r="AO213">
            <v>15.369433229801183</v>
          </cell>
          <cell r="AP213">
            <v>46.192410000000002</v>
          </cell>
          <cell r="AQ213">
            <v>70</v>
          </cell>
          <cell r="AR213">
            <v>2.4357490503600179</v>
          </cell>
          <cell r="AS213" t="str">
            <v/>
          </cell>
          <cell r="AT213">
            <v>0</v>
          </cell>
          <cell r="AU213" t="str">
            <v/>
          </cell>
          <cell r="AV213">
            <v>0</v>
          </cell>
          <cell r="AW213" t="str">
            <v>Prefrac  kh estimate acceptable</v>
          </cell>
          <cell r="AY213">
            <v>70</v>
          </cell>
        </row>
        <row r="214">
          <cell r="C214" t="str">
            <v>Prirazlomnoe!6872</v>
          </cell>
          <cell r="E214" t="str">
            <v>6872</v>
          </cell>
          <cell r="F214">
            <v>2524.1999999999998</v>
          </cell>
          <cell r="G214">
            <v>36704</v>
          </cell>
          <cell r="H214">
            <v>262.44533639999997</v>
          </cell>
          <cell r="I214">
            <v>100</v>
          </cell>
          <cell r="J214" t="str">
            <v/>
          </cell>
          <cell r="K214" t="str">
            <v/>
          </cell>
          <cell r="L214" t="str">
            <v/>
          </cell>
          <cell r="M214" t="str">
            <v/>
          </cell>
          <cell r="N214" t="str">
            <v/>
          </cell>
          <cell r="O214" t="str">
            <v/>
          </cell>
          <cell r="P214">
            <v>0</v>
          </cell>
          <cell r="Q214">
            <v>0.72985720906215867</v>
          </cell>
          <cell r="R214" t="str">
            <v/>
          </cell>
          <cell r="S214">
            <v>0.72985720906215867</v>
          </cell>
          <cell r="T214">
            <v>171.00000000000003</v>
          </cell>
          <cell r="U214" t="str">
            <v>New</v>
          </cell>
          <cell r="X214">
            <v>21</v>
          </cell>
          <cell r="Y214">
            <v>0.28000000000000003</v>
          </cell>
          <cell r="Z214">
            <v>11.365394982932528</v>
          </cell>
          <cell r="AA214">
            <v>0</v>
          </cell>
          <cell r="AB214">
            <v>-4.8404579662308214</v>
          </cell>
          <cell r="AC214" t="str">
            <v>BS-4,100</v>
          </cell>
          <cell r="AE214">
            <v>40.6</v>
          </cell>
          <cell r="AF214" t="str">
            <v>16/20</v>
          </cell>
          <cell r="AG214">
            <v>34.200000000000003</v>
          </cell>
          <cell r="AH214">
            <v>64.2</v>
          </cell>
          <cell r="AI214">
            <v>420</v>
          </cell>
          <cell r="AJ214">
            <v>2887.037789516457</v>
          </cell>
          <cell r="AK214">
            <v>1</v>
          </cell>
          <cell r="AL214" t="str">
            <v>0.00000:0.00000!171.00000</v>
          </cell>
          <cell r="AM214">
            <v>0</v>
          </cell>
          <cell r="AN214">
            <v>0</v>
          </cell>
          <cell r="AO214">
            <v>0</v>
          </cell>
          <cell r="AP214">
            <v>171</v>
          </cell>
          <cell r="AQ214">
            <v>171.00000000000003</v>
          </cell>
          <cell r="AR214">
            <v>1.0000000000000002</v>
          </cell>
          <cell r="AS214" t="str">
            <v/>
          </cell>
          <cell r="AT214">
            <v>0</v>
          </cell>
          <cell r="AU214" t="str">
            <v/>
          </cell>
          <cell r="AV214">
            <v>1</v>
          </cell>
          <cell r="AW214" t="str">
            <v>PROBLEM FRAC possible? KH prefrac Estimate is at least 50% higher than for a perfect frac</v>
          </cell>
          <cell r="AY214">
            <v>171.00000000000003</v>
          </cell>
        </row>
        <row r="215">
          <cell r="C215" t="str">
            <v>Prirazlomnoe!6873</v>
          </cell>
          <cell r="E215" t="str">
            <v>6873</v>
          </cell>
          <cell r="F215">
            <v>2518.9</v>
          </cell>
          <cell r="G215">
            <v>36796</v>
          </cell>
          <cell r="H215">
            <v>254</v>
          </cell>
          <cell r="I215">
            <v>100</v>
          </cell>
          <cell r="J215" t="str">
            <v/>
          </cell>
          <cell r="K215" t="str">
            <v/>
          </cell>
          <cell r="L215" t="str">
            <v/>
          </cell>
          <cell r="M215" t="str">
            <v/>
          </cell>
          <cell r="N215" t="str">
            <v/>
          </cell>
          <cell r="O215" t="str">
            <v/>
          </cell>
          <cell r="P215">
            <v>0</v>
          </cell>
          <cell r="Q215">
            <v>0.20871355276689801</v>
          </cell>
          <cell r="R215" t="str">
            <v/>
          </cell>
          <cell r="S215">
            <v>0.20871355276689801</v>
          </cell>
          <cell r="T215">
            <v>48.900000000000006</v>
          </cell>
          <cell r="U215" t="str">
            <v>Old</v>
          </cell>
          <cell r="X215">
            <v>25.5</v>
          </cell>
          <cell r="Y215">
            <v>0.53520000000000001</v>
          </cell>
          <cell r="Z215">
            <v>-4.3153590240059199</v>
          </cell>
          <cell r="AA215">
            <v>-3.8129</v>
          </cell>
          <cell r="AB215">
            <v>-4.8717086992754322</v>
          </cell>
          <cell r="AC215" t="str">
            <v>BS-4,100</v>
          </cell>
          <cell r="AE215">
            <v>27.969000000000001</v>
          </cell>
          <cell r="AF215" t="str">
            <v>16/30</v>
          </cell>
          <cell r="AG215">
            <v>16.3</v>
          </cell>
          <cell r="AH215">
            <v>61.8</v>
          </cell>
          <cell r="AI215">
            <v>420</v>
          </cell>
          <cell r="AJ215">
            <v>3168.8547366676426</v>
          </cell>
          <cell r="AK215">
            <v>1</v>
          </cell>
          <cell r="AL215" t="str">
            <v>0.03964:-3.81290!48.90000</v>
          </cell>
          <cell r="AM215">
            <v>3.9640000000000002E-2</v>
          </cell>
          <cell r="AN215">
            <v>-3.8129</v>
          </cell>
          <cell r="AO215">
            <v>0.67752643884307118</v>
          </cell>
          <cell r="AP215">
            <v>48.9</v>
          </cell>
          <cell r="AQ215">
            <v>48.900000000000006</v>
          </cell>
          <cell r="AR215">
            <v>2.1691902132891108</v>
          </cell>
          <cell r="AS215" t="str">
            <v/>
          </cell>
          <cell r="AT215">
            <v>0</v>
          </cell>
          <cell r="AU215" t="str">
            <v/>
          </cell>
          <cell r="AV215">
            <v>1</v>
          </cell>
          <cell r="AW215" t="str">
            <v>PROBLEM FRAC possible? KH prefrac Estimate is at least 50% higher than for a perfect frac</v>
          </cell>
          <cell r="AY215">
            <v>48.900000000000006</v>
          </cell>
        </row>
        <row r="216">
          <cell r="C216" t="str">
            <v>Prirazlomnoe!6890</v>
          </cell>
          <cell r="E216" t="str">
            <v>6890</v>
          </cell>
          <cell r="F216">
            <v>2538.5</v>
          </cell>
          <cell r="G216">
            <v>36799</v>
          </cell>
          <cell r="H216">
            <v>220</v>
          </cell>
          <cell r="I216">
            <v>100</v>
          </cell>
          <cell r="J216" t="str">
            <v/>
          </cell>
          <cell r="K216" t="str">
            <v/>
          </cell>
          <cell r="L216" t="str">
            <v/>
          </cell>
          <cell r="M216" t="str">
            <v/>
          </cell>
          <cell r="N216" t="str">
            <v/>
          </cell>
          <cell r="O216" t="str">
            <v/>
          </cell>
          <cell r="P216">
            <v>0</v>
          </cell>
          <cell r="Q216">
            <v>0.30474739606455048</v>
          </cell>
          <cell r="R216" t="str">
            <v/>
          </cell>
          <cell r="S216">
            <v>0.30474739606455048</v>
          </cell>
          <cell r="T216">
            <v>71.400000000000006</v>
          </cell>
          <cell r="U216" t="str">
            <v>Old</v>
          </cell>
          <cell r="X216">
            <v>36.33</v>
          </cell>
          <cell r="Y216">
            <v>1.2430000000000001</v>
          </cell>
          <cell r="Z216">
            <v>-5.3396959694650805</v>
          </cell>
          <cell r="AA216">
            <v>-4.8715799999999998</v>
          </cell>
          <cell r="AB216">
            <v>-4.7604809874439198</v>
          </cell>
          <cell r="AC216" t="str">
            <v>BS-4,100</v>
          </cell>
          <cell r="AE216">
            <v>37.087000000000003</v>
          </cell>
          <cell r="AF216" t="str">
            <v>20/40</v>
          </cell>
          <cell r="AG216">
            <v>23.8</v>
          </cell>
          <cell r="AH216">
            <v>62.6</v>
          </cell>
          <cell r="AI216">
            <v>250</v>
          </cell>
          <cell r="AJ216">
            <v>1691.0739674394551</v>
          </cell>
          <cell r="AK216">
            <v>1</v>
          </cell>
          <cell r="AL216" t="str">
            <v>1:-4.87158!79.33831</v>
          </cell>
          <cell r="AM216">
            <v>1</v>
          </cell>
          <cell r="AN216">
            <v>-4.8715799999999998</v>
          </cell>
          <cell r="AO216">
            <v>8.1036799896630942</v>
          </cell>
          <cell r="AP216">
            <v>79.338310000000007</v>
          </cell>
          <cell r="AQ216">
            <v>71.400000000000006</v>
          </cell>
          <cell r="AR216">
            <v>3.5689741199280256</v>
          </cell>
          <cell r="AS216">
            <v>0.78649818191093246</v>
          </cell>
          <cell r="AT216">
            <v>0</v>
          </cell>
          <cell r="AU216" t="str">
            <v/>
          </cell>
          <cell r="AV216">
            <v>0</v>
          </cell>
          <cell r="AW216" t="str">
            <v>Prefrac  kh estimate acceptable</v>
          </cell>
          <cell r="AY216">
            <v>79.338310000000007</v>
          </cell>
        </row>
        <row r="217">
          <cell r="C217" t="str">
            <v>Prirazlomnoe!6891</v>
          </cell>
          <cell r="E217" t="str">
            <v>6891</v>
          </cell>
          <cell r="F217">
            <v>2529.35</v>
          </cell>
          <cell r="G217">
            <v>36751</v>
          </cell>
          <cell r="H217">
            <v>220.07597039999999</v>
          </cell>
          <cell r="I217">
            <v>100</v>
          </cell>
          <cell r="J217" t="str">
            <v/>
          </cell>
          <cell r="K217" t="str">
            <v/>
          </cell>
          <cell r="L217" t="str">
            <v/>
          </cell>
          <cell r="M217" t="str">
            <v/>
          </cell>
          <cell r="N217" t="str">
            <v/>
          </cell>
          <cell r="O217" t="str">
            <v/>
          </cell>
          <cell r="P217">
            <v>0</v>
          </cell>
          <cell r="Q217">
            <v>0.24584663884199029</v>
          </cell>
          <cell r="R217" t="str">
            <v/>
          </cell>
          <cell r="S217">
            <v>0.24584663884199029</v>
          </cell>
          <cell r="T217">
            <v>57.599999999999994</v>
          </cell>
          <cell r="U217" t="str">
            <v>New</v>
          </cell>
          <cell r="X217">
            <v>40.5</v>
          </cell>
          <cell r="Y217">
            <v>0.78310000000000002</v>
          </cell>
          <cell r="Z217">
            <v>-4.8532179751231688</v>
          </cell>
          <cell r="AA217">
            <v>-4.94407</v>
          </cell>
          <cell r="AB217">
            <v>-4.9096687029414277</v>
          </cell>
          <cell r="AC217" t="str">
            <v>BS-4,100</v>
          </cell>
          <cell r="AE217">
            <v>29.8</v>
          </cell>
          <cell r="AF217" t="str">
            <v>16/20</v>
          </cell>
          <cell r="AG217">
            <v>28.8</v>
          </cell>
          <cell r="AH217">
            <v>60.6</v>
          </cell>
          <cell r="AI217">
            <v>420</v>
          </cell>
          <cell r="AJ217">
            <v>2244.9418854928972</v>
          </cell>
          <cell r="AK217">
            <v>1</v>
          </cell>
          <cell r="AL217" t="str">
            <v>1:-4.94407!40.97825</v>
          </cell>
          <cell r="AM217">
            <v>1</v>
          </cell>
          <cell r="AN217">
            <v>-4.94407</v>
          </cell>
          <cell r="AO217">
            <v>26.035837896778268</v>
          </cell>
          <cell r="AP217">
            <v>40.978250000000003</v>
          </cell>
          <cell r="AQ217">
            <v>57.599999999999994</v>
          </cell>
          <cell r="AR217">
            <v>2.3627843862480877</v>
          </cell>
          <cell r="AS217" t="str">
            <v/>
          </cell>
          <cell r="AT217">
            <v>0</v>
          </cell>
          <cell r="AU217" t="str">
            <v/>
          </cell>
          <cell r="AV217">
            <v>0</v>
          </cell>
          <cell r="AW217" t="str">
            <v>Prefrac  kh estimate acceptable</v>
          </cell>
          <cell r="AY217">
            <v>57.599999999999994</v>
          </cell>
        </row>
        <row r="218">
          <cell r="C218" t="str">
            <v>Prirazlomnoe!6892</v>
          </cell>
          <cell r="E218" t="str">
            <v>6892</v>
          </cell>
          <cell r="F218">
            <v>2513.9</v>
          </cell>
          <cell r="G218">
            <v>36549</v>
          </cell>
          <cell r="H218">
            <v>216.9760216</v>
          </cell>
          <cell r="I218">
            <v>100</v>
          </cell>
          <cell r="J218" t="str">
            <v/>
          </cell>
          <cell r="K218" t="str">
            <v/>
          </cell>
          <cell r="L218" t="str">
            <v/>
          </cell>
          <cell r="M218" t="str">
            <v/>
          </cell>
          <cell r="N218" t="str">
            <v/>
          </cell>
          <cell r="O218" t="str">
            <v/>
          </cell>
          <cell r="P218">
            <v>0</v>
          </cell>
          <cell r="Q218">
            <v>0.36364815328711064</v>
          </cell>
          <cell r="R218" t="str">
            <v/>
          </cell>
          <cell r="S218">
            <v>0.36364815328711064</v>
          </cell>
          <cell r="T218">
            <v>85.200000000000017</v>
          </cell>
          <cell r="U218" t="str">
            <v>New</v>
          </cell>
          <cell r="X218">
            <v>77</v>
          </cell>
          <cell r="Y218">
            <v>0.51770000000000005</v>
          </cell>
          <cell r="Z218">
            <v>-2.1050219271863231</v>
          </cell>
          <cell r="AA218">
            <v>-2.1050599999999999</v>
          </cell>
          <cell r="AB218">
            <v>-4.4426405725616451</v>
          </cell>
          <cell r="AC218" t="str">
            <v>BS-4,100</v>
          </cell>
          <cell r="AE218">
            <v>37.299999999999997</v>
          </cell>
          <cell r="AF218" t="str">
            <v>16/30</v>
          </cell>
          <cell r="AG218">
            <v>21.3</v>
          </cell>
          <cell r="AH218">
            <v>36.700000000000003</v>
          </cell>
          <cell r="AI218">
            <v>420</v>
          </cell>
          <cell r="AJ218">
            <v>5445.8369694532548</v>
          </cell>
          <cell r="AK218">
            <v>1</v>
          </cell>
          <cell r="AL218" t="str">
            <v>0.00460:-2.10506!85.20000</v>
          </cell>
          <cell r="AM218">
            <v>4.5999999999999999E-3</v>
          </cell>
          <cell r="AN218">
            <v>-2.1050599999999999</v>
          </cell>
          <cell r="AO218">
            <v>0.17064611757142351</v>
          </cell>
          <cell r="AP218">
            <v>85.2</v>
          </cell>
          <cell r="AQ218">
            <v>85.200000000000017</v>
          </cell>
          <cell r="AR218">
            <v>1.4236397517322135</v>
          </cell>
          <cell r="AS218" t="str">
            <v/>
          </cell>
          <cell r="AT218">
            <v>0</v>
          </cell>
          <cell r="AU218" t="str">
            <v/>
          </cell>
          <cell r="AV218">
            <v>1</v>
          </cell>
          <cell r="AW218" t="str">
            <v>PROBLEM FRAC possible? KH prefrac Estimate is at least 50% higher than for a perfect frac</v>
          </cell>
          <cell r="AY218">
            <v>85.200000000000017</v>
          </cell>
        </row>
        <row r="219">
          <cell r="C219" t="str">
            <v>Prirazlomnoe!6908</v>
          </cell>
          <cell r="E219" t="str">
            <v>6908</v>
          </cell>
          <cell r="F219">
            <v>2513.1</v>
          </cell>
          <cell r="G219">
            <v>36825</v>
          </cell>
          <cell r="H219">
            <v>254</v>
          </cell>
          <cell r="I219">
            <v>100</v>
          </cell>
          <cell r="J219" t="str">
            <v/>
          </cell>
          <cell r="K219" t="str">
            <v/>
          </cell>
          <cell r="L219" t="str">
            <v/>
          </cell>
          <cell r="M219" t="str">
            <v/>
          </cell>
          <cell r="N219" t="str">
            <v/>
          </cell>
          <cell r="O219" t="str">
            <v/>
          </cell>
          <cell r="P219">
            <v>0</v>
          </cell>
          <cell r="Q219">
            <v>0.12804512439686994</v>
          </cell>
          <cell r="R219" t="str">
            <v/>
          </cell>
          <cell r="S219">
            <v>0.12804512439686994</v>
          </cell>
          <cell r="T219">
            <v>30</v>
          </cell>
          <cell r="U219" t="str">
            <v>Old</v>
          </cell>
          <cell r="X219">
            <v>61</v>
          </cell>
          <cell r="Y219">
            <v>0.6</v>
          </cell>
          <cell r="Z219">
            <v>-5.5643841751074996</v>
          </cell>
          <cell r="AA219">
            <v>-5.2008200000000002</v>
          </cell>
          <cell r="AB219">
            <v>-5.123286139549835</v>
          </cell>
          <cell r="AC219" t="str">
            <v>BS-4,96</v>
          </cell>
          <cell r="AE219">
            <v>29.63</v>
          </cell>
          <cell r="AF219" t="str">
            <v>16/30</v>
          </cell>
          <cell r="AG219">
            <v>30</v>
          </cell>
          <cell r="AH219">
            <v>80.2</v>
          </cell>
          <cell r="AI219">
            <v>420</v>
          </cell>
          <cell r="AJ219">
            <v>1686.625826737504</v>
          </cell>
          <cell r="AK219">
            <v>1</v>
          </cell>
          <cell r="AL219" t="str">
            <v>1:-5.20082!26.55786</v>
          </cell>
          <cell r="AM219">
            <v>1</v>
          </cell>
          <cell r="AN219">
            <v>-5.2008200000000002</v>
          </cell>
          <cell r="AO219">
            <v>23.755958367328937</v>
          </cell>
          <cell r="AP219">
            <v>26.557860000000002</v>
          </cell>
          <cell r="AQ219">
            <v>30</v>
          </cell>
          <cell r="AR219">
            <v>3.3431011972762397</v>
          </cell>
          <cell r="AS219" t="str">
            <v/>
          </cell>
          <cell r="AT219">
            <v>0</v>
          </cell>
          <cell r="AU219" t="str">
            <v/>
          </cell>
          <cell r="AV219">
            <v>0</v>
          </cell>
          <cell r="AW219" t="str">
            <v>Prefrac  kh estimate acceptable</v>
          </cell>
          <cell r="AY219">
            <v>30</v>
          </cell>
        </row>
        <row r="220">
          <cell r="C220" t="str">
            <v>Prirazlomnoe!831</v>
          </cell>
          <cell r="E220" t="str">
            <v>831</v>
          </cell>
          <cell r="F220">
            <v>2516.6</v>
          </cell>
          <cell r="G220">
            <v>36581</v>
          </cell>
          <cell r="H220">
            <v>242.8055292</v>
          </cell>
          <cell r="I220">
            <v>100</v>
          </cell>
          <cell r="J220" t="str">
            <v/>
          </cell>
          <cell r="K220" t="str">
            <v/>
          </cell>
          <cell r="L220" t="str">
            <v/>
          </cell>
          <cell r="M220" t="str">
            <v/>
          </cell>
          <cell r="N220" t="str">
            <v/>
          </cell>
          <cell r="O220" t="str">
            <v/>
          </cell>
          <cell r="P220">
            <v>0</v>
          </cell>
          <cell r="Q220">
            <v>0.14511780764978593</v>
          </cell>
          <cell r="R220" t="str">
            <v/>
          </cell>
          <cell r="S220">
            <v>0.14511780764978593</v>
          </cell>
          <cell r="T220">
            <v>34.000000000000007</v>
          </cell>
          <cell r="U220" t="str">
            <v>Old</v>
          </cell>
          <cell r="X220">
            <v>45</v>
          </cell>
          <cell r="Y220">
            <v>0.58150000000000002</v>
          </cell>
          <cell r="Z220">
            <v>-5.3086632966530605</v>
          </cell>
          <cell r="AA220">
            <v>-4.7902300000000002</v>
          </cell>
          <cell r="AB220">
            <v>-4.7655469377280237</v>
          </cell>
          <cell r="AC220" t="str">
            <v>BS-4,100</v>
          </cell>
          <cell r="AE220">
            <v>33.25</v>
          </cell>
          <cell r="AF220" t="str">
            <v>16/30</v>
          </cell>
          <cell r="AG220">
            <v>13.6</v>
          </cell>
          <cell r="AH220">
            <v>50.4</v>
          </cell>
          <cell r="AI220">
            <v>420</v>
          </cell>
          <cell r="AJ220">
            <v>5536.3517689684568</v>
          </cell>
          <cell r="AK220">
            <v>1</v>
          </cell>
          <cell r="AL220" t="str">
            <v>1:-4.79023!39.23493</v>
          </cell>
          <cell r="AM220">
            <v>1</v>
          </cell>
          <cell r="AN220">
            <v>-4.7902300000000002</v>
          </cell>
          <cell r="AO220">
            <v>38.076688084480054</v>
          </cell>
          <cell r="AP220">
            <v>39.234929999999999</v>
          </cell>
          <cell r="AQ220">
            <v>34.000000000000007</v>
          </cell>
          <cell r="AR220">
            <v>3.5743800872462943</v>
          </cell>
          <cell r="AS220">
            <v>1.0891804612827025</v>
          </cell>
          <cell r="AT220">
            <v>0</v>
          </cell>
          <cell r="AU220" t="str">
            <v/>
          </cell>
          <cell r="AV220">
            <v>0</v>
          </cell>
          <cell r="AW220" t="str">
            <v>Prefrac  kh estimate acceptable</v>
          </cell>
          <cell r="AY220">
            <v>39.234929999999999</v>
          </cell>
        </row>
        <row r="221">
          <cell r="C221" t="str">
            <v>Prirazlomnoe!857</v>
          </cell>
          <cell r="E221" t="str">
            <v>857</v>
          </cell>
          <cell r="F221">
            <v>2502.9</v>
          </cell>
          <cell r="G221">
            <v>36556</v>
          </cell>
          <cell r="H221">
            <v>222.14600200000001</v>
          </cell>
          <cell r="I221">
            <v>100</v>
          </cell>
          <cell r="J221">
            <v>40.950000000000003</v>
          </cell>
          <cell r="K221">
            <v>50</v>
          </cell>
          <cell r="L221">
            <v>9</v>
          </cell>
          <cell r="M221">
            <v>91</v>
          </cell>
          <cell r="N221">
            <v>1040</v>
          </cell>
          <cell r="O221">
            <v>144.661</v>
          </cell>
          <cell r="P221">
            <v>0</v>
          </cell>
          <cell r="R221">
            <v>0.64528616776702152</v>
          </cell>
          <cell r="S221">
            <v>0.64528616776702152</v>
          </cell>
          <cell r="T221">
            <v>151.18564743636475</v>
          </cell>
          <cell r="U221" t="str">
            <v>Old</v>
          </cell>
          <cell r="X221">
            <v>70</v>
          </cell>
          <cell r="Y221">
            <v>0.8085</v>
          </cell>
          <cell r="Z221">
            <v>-1.4280546182118368</v>
          </cell>
          <cell r="AA221">
            <v>0</v>
          </cell>
          <cell r="AB221">
            <v>-5.2770513516322062</v>
          </cell>
          <cell r="AC221" t="str">
            <v>BS-4,99</v>
          </cell>
          <cell r="AE221">
            <v>35.4</v>
          </cell>
          <cell r="AF221" t="str">
            <v>16/30</v>
          </cell>
          <cell r="AG221">
            <v>10</v>
          </cell>
          <cell r="AH221">
            <v>112.4</v>
          </cell>
          <cell r="AI221">
            <v>420</v>
          </cell>
          <cell r="AJ221">
            <v>3594.4994584558253</v>
          </cell>
          <cell r="AK221">
            <v>1</v>
          </cell>
          <cell r="AL221" t="str">
            <v>0.00000:0.00000!151.18565</v>
          </cell>
          <cell r="AM221">
            <v>0</v>
          </cell>
          <cell r="AN221">
            <v>0</v>
          </cell>
          <cell r="AO221">
            <v>0</v>
          </cell>
          <cell r="AP221">
            <v>151.18565000000001</v>
          </cell>
          <cell r="AQ221">
            <v>151.18564743636475</v>
          </cell>
          <cell r="AR221">
            <v>1</v>
          </cell>
          <cell r="AS221">
            <v>1.1995367277251034E-7</v>
          </cell>
          <cell r="AT221">
            <v>0</v>
          </cell>
          <cell r="AU221" t="str">
            <v/>
          </cell>
          <cell r="AV221">
            <v>0</v>
          </cell>
          <cell r="AW221" t="str">
            <v>Proppant Pack damage=0%</v>
          </cell>
          <cell r="AY221">
            <v>151.18565000000001</v>
          </cell>
        </row>
        <row r="222">
          <cell r="C222" t="str">
            <v>Prirazlomnoe!858</v>
          </cell>
          <cell r="E222" t="str">
            <v>858</v>
          </cell>
          <cell r="F222">
            <v>2470.75</v>
          </cell>
          <cell r="G222">
            <v>36568</v>
          </cell>
          <cell r="H222">
            <v>222.14600200000001</v>
          </cell>
          <cell r="I222">
            <v>100</v>
          </cell>
          <cell r="J222">
            <v>27.846</v>
          </cell>
          <cell r="K222">
            <v>34</v>
          </cell>
          <cell r="L222">
            <v>9</v>
          </cell>
          <cell r="M222">
            <v>91</v>
          </cell>
          <cell r="N222">
            <v>1262</v>
          </cell>
          <cell r="O222">
            <v>121.78749999999999</v>
          </cell>
          <cell r="P222">
            <v>0</v>
          </cell>
          <cell r="R222">
            <v>0.33878544739537858</v>
          </cell>
          <cell r="S222">
            <v>0.33878544739537858</v>
          </cell>
          <cell r="T222">
            <v>79.374856869675597</v>
          </cell>
          <cell r="U222" t="str">
            <v>Old</v>
          </cell>
          <cell r="X222">
            <v>157</v>
          </cell>
          <cell r="Y222">
            <v>0.9</v>
          </cell>
          <cell r="Z222">
            <v>-4.4111750745413563</v>
          </cell>
          <cell r="AA222">
            <v>-4.4114000000000004</v>
          </cell>
          <cell r="AB222">
            <v>-5.1012444607394354</v>
          </cell>
          <cell r="AC222" t="str">
            <v>BS-4,100</v>
          </cell>
          <cell r="AE222">
            <v>39.6</v>
          </cell>
          <cell r="AF222" t="str">
            <v>16/30</v>
          </cell>
          <cell r="AG222">
            <v>11.6</v>
          </cell>
          <cell r="AH222">
            <v>85.1</v>
          </cell>
          <cell r="AI222">
            <v>420</v>
          </cell>
          <cell r="AJ222">
            <v>4578.3512474080235</v>
          </cell>
          <cell r="AK222">
            <v>1</v>
          </cell>
          <cell r="AL222" t="str">
            <v>0.13123:-4.41140!79.37486</v>
          </cell>
          <cell r="AM222">
            <v>0.13123000000000001</v>
          </cell>
          <cell r="AN222">
            <v>-4.4114000000000004</v>
          </cell>
          <cell r="AO222">
            <v>1.0317813987187507</v>
          </cell>
          <cell r="AP222">
            <v>79.374859999999998</v>
          </cell>
          <cell r="AQ222">
            <v>79.374856869675597</v>
          </cell>
          <cell r="AR222">
            <v>2.6567729927348926</v>
          </cell>
          <cell r="AS222">
            <v>2.7898077181731651E-7</v>
          </cell>
          <cell r="AT222">
            <v>0</v>
          </cell>
          <cell r="AU222" t="str">
            <v/>
          </cell>
          <cell r="AV222">
            <v>0</v>
          </cell>
          <cell r="AW222" t="str">
            <v>Proppant Pack damage=13%</v>
          </cell>
          <cell r="AY222">
            <v>79.374859999999998</v>
          </cell>
        </row>
        <row r="223">
          <cell r="C223" t="str">
            <v>Prirazlomnoe!880</v>
          </cell>
          <cell r="E223" t="str">
            <v>880</v>
          </cell>
          <cell r="F223">
            <v>2477.85</v>
          </cell>
          <cell r="G223">
            <v>36775</v>
          </cell>
          <cell r="H223">
            <v>196.31649440000001</v>
          </cell>
          <cell r="I223">
            <v>100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 t="str">
            <v/>
          </cell>
          <cell r="P223">
            <v>0</v>
          </cell>
          <cell r="Q223">
            <v>0.1835313449688469</v>
          </cell>
          <cell r="R223" t="str">
            <v/>
          </cell>
          <cell r="S223">
            <v>0.1835313449688469</v>
          </cell>
          <cell r="T223">
            <v>42.999999999999993</v>
          </cell>
          <cell r="U223" t="str">
            <v>Old</v>
          </cell>
          <cell r="X223">
            <v>63</v>
          </cell>
          <cell r="Y223">
            <v>1.59</v>
          </cell>
          <cell r="Z223">
            <v>-6.2574993575582027</v>
          </cell>
          <cell r="AA223">
            <v>-4.9008000000000003</v>
          </cell>
          <cell r="AB223">
            <v>-4.975628019904466</v>
          </cell>
          <cell r="AC223" t="str">
            <v>BS-4,100</v>
          </cell>
          <cell r="AE223">
            <v>40.359000000000002</v>
          </cell>
          <cell r="AF223" t="str">
            <v>20/40</v>
          </cell>
          <cell r="AG223">
            <v>8.6</v>
          </cell>
          <cell r="AH223">
            <v>73.5</v>
          </cell>
          <cell r="AI223">
            <v>250</v>
          </cell>
          <cell r="AJ223">
            <v>4337.5729968428213</v>
          </cell>
          <cell r="AK223">
            <v>1</v>
          </cell>
          <cell r="AL223" t="str">
            <v>1:-4.90080!114.44508</v>
          </cell>
          <cell r="AM223">
            <v>1</v>
          </cell>
          <cell r="AN223">
            <v>-4.9008000000000003</v>
          </cell>
          <cell r="AO223">
            <v>4.4346646262985558</v>
          </cell>
          <cell r="AP223">
            <v>114.44508</v>
          </cell>
          <cell r="AQ223">
            <v>42.999999999999993</v>
          </cell>
          <cell r="AR223">
            <v>8.663385912688474</v>
          </cell>
          <cell r="AS223">
            <v>11.75362286440253</v>
          </cell>
          <cell r="AT223">
            <v>0</v>
          </cell>
          <cell r="AU223" t="str">
            <v/>
          </cell>
          <cell r="AV223">
            <v>0</v>
          </cell>
          <cell r="AW223" t="str">
            <v>Prefrac kh estimate too low by 266%</v>
          </cell>
          <cell r="AY223">
            <v>114.44508</v>
          </cell>
        </row>
        <row r="224">
          <cell r="C224" t="str">
            <v>Prirazlomnoe!886</v>
          </cell>
          <cell r="E224" t="str">
            <v>886</v>
          </cell>
          <cell r="F224">
            <v>2527.3000000000002</v>
          </cell>
          <cell r="G224">
            <v>36731</v>
          </cell>
          <cell r="H224">
            <v>254.9401972</v>
          </cell>
          <cell r="I224">
            <v>100</v>
          </cell>
          <cell r="J224" t="str">
            <v/>
          </cell>
          <cell r="K224" t="str">
            <v/>
          </cell>
          <cell r="L224" t="str">
            <v/>
          </cell>
          <cell r="M224" t="str">
            <v/>
          </cell>
          <cell r="N224" t="str">
            <v/>
          </cell>
          <cell r="O224" t="str">
            <v/>
          </cell>
          <cell r="P224">
            <v>0</v>
          </cell>
          <cell r="Q224">
            <v>0.1915555060977174</v>
          </cell>
          <cell r="R224" t="str">
            <v/>
          </cell>
          <cell r="S224">
            <v>0.1915555060977174</v>
          </cell>
          <cell r="T224">
            <v>44.879999999999988</v>
          </cell>
          <cell r="U224" t="str">
            <v>Old</v>
          </cell>
          <cell r="X224">
            <v>27.4</v>
          </cell>
          <cell r="Y224">
            <v>0.68830000000000002</v>
          </cell>
          <cell r="Z224">
            <v>-5.1053223964902941</v>
          </cell>
          <cell r="AA224">
            <v>-5.02644</v>
          </cell>
          <cell r="AB224">
            <v>-4.8643738170499837</v>
          </cell>
          <cell r="AC224" t="str">
            <v>BS-4,88</v>
          </cell>
          <cell r="AE224">
            <v>17</v>
          </cell>
          <cell r="AF224" t="str">
            <v>16/30</v>
          </cell>
          <cell r="AG224">
            <v>13.2</v>
          </cell>
          <cell r="AH224">
            <v>70.599999999999994</v>
          </cell>
          <cell r="AI224">
            <v>420</v>
          </cell>
          <cell r="AJ224">
            <v>2081.9570256077218</v>
          </cell>
          <cell r="AK224">
            <v>1</v>
          </cell>
          <cell r="AL224" t="str">
            <v>1:-5.02644!35.33517</v>
          </cell>
          <cell r="AM224">
            <v>1</v>
          </cell>
          <cell r="AN224">
            <v>-5.02644</v>
          </cell>
          <cell r="AO224">
            <v>11.016250578129963</v>
          </cell>
          <cell r="AP224">
            <v>35.335169999999998</v>
          </cell>
          <cell r="AQ224">
            <v>44.879999999999988</v>
          </cell>
          <cell r="AR224">
            <v>2.7200433232175287</v>
          </cell>
          <cell r="AS224" t="str">
            <v/>
          </cell>
          <cell r="AT224">
            <v>0</v>
          </cell>
          <cell r="AU224" t="str">
            <v/>
          </cell>
          <cell r="AV224">
            <v>0</v>
          </cell>
          <cell r="AW224" t="str">
            <v>Prefrac  kh estimate acceptable</v>
          </cell>
          <cell r="AY224">
            <v>44.879999999999988</v>
          </cell>
        </row>
        <row r="225">
          <cell r="C225" t="str">
            <v>Prirazlomnoe!887</v>
          </cell>
          <cell r="E225" t="str">
            <v>887</v>
          </cell>
          <cell r="F225">
            <v>2519</v>
          </cell>
          <cell r="G225">
            <v>36770</v>
          </cell>
          <cell r="H225">
            <v>202</v>
          </cell>
          <cell r="I225">
            <v>100</v>
          </cell>
          <cell r="J225" t="str">
            <v/>
          </cell>
          <cell r="K225" t="str">
            <v/>
          </cell>
          <cell r="L225" t="str">
            <v/>
          </cell>
          <cell r="M225" t="str">
            <v/>
          </cell>
          <cell r="N225" t="str">
            <v/>
          </cell>
          <cell r="O225" t="str">
            <v/>
          </cell>
          <cell r="P225">
            <v>0</v>
          </cell>
          <cell r="Q225">
            <v>0.1963358574085339</v>
          </cell>
          <cell r="R225" t="str">
            <v/>
          </cell>
          <cell r="S225">
            <v>0.1963358574085339</v>
          </cell>
          <cell r="T225">
            <v>46</v>
          </cell>
          <cell r="U225" t="str">
            <v>Old</v>
          </cell>
          <cell r="X225">
            <v>28.5</v>
          </cell>
          <cell r="Y225">
            <v>0.93600000000000005</v>
          </cell>
          <cell r="Z225">
            <v>-5.5901903603339749</v>
          </cell>
          <cell r="AA225">
            <v>-4.7908299999999997</v>
          </cell>
          <cell r="AB225">
            <v>-4.699526364407534</v>
          </cell>
          <cell r="AC225" t="str">
            <v>BS-4,83</v>
          </cell>
          <cell r="AE225">
            <v>10</v>
          </cell>
          <cell r="AF225" t="str">
            <v>16/30</v>
          </cell>
          <cell r="AG225">
            <v>9.1999999999999993</v>
          </cell>
          <cell r="AH225">
            <v>75.599999999999994</v>
          </cell>
          <cell r="AI225">
            <v>420</v>
          </cell>
          <cell r="AJ225">
            <v>1640.936777987818</v>
          </cell>
          <cell r="AK225">
            <v>1</v>
          </cell>
          <cell r="AL225" t="str">
            <v>1:-4.79083!70.78054</v>
          </cell>
          <cell r="AM225">
            <v>1</v>
          </cell>
          <cell r="AN225">
            <v>-4.7908299999999997</v>
          </cell>
          <cell r="AO225">
            <v>2.8212658311788883</v>
          </cell>
          <cell r="AP225">
            <v>70.780540000000002</v>
          </cell>
          <cell r="AQ225">
            <v>46</v>
          </cell>
          <cell r="AR225">
            <v>4.7673487009445807</v>
          </cell>
          <cell r="AS225">
            <v>3.8108408724753202</v>
          </cell>
          <cell r="AT225">
            <v>0</v>
          </cell>
          <cell r="AU225" t="str">
            <v/>
          </cell>
          <cell r="AV225">
            <v>0</v>
          </cell>
          <cell r="AW225" t="str">
            <v>Prefrac kh estimate too low by 154%</v>
          </cell>
          <cell r="AY225">
            <v>70.780540000000002</v>
          </cell>
        </row>
        <row r="226">
          <cell r="C226" t="str">
            <v>Prirazlomnoe!888</v>
          </cell>
          <cell r="E226" t="str">
            <v>888</v>
          </cell>
          <cell r="F226">
            <v>2507.6999999999998</v>
          </cell>
          <cell r="G226" t="str">
            <v>фонтан</v>
          </cell>
          <cell r="H226">
            <v>237.645746</v>
          </cell>
          <cell r="I226">
            <v>100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 t="str">
            <v/>
          </cell>
          <cell r="O226" t="str">
            <v/>
          </cell>
          <cell r="P226">
            <v>0</v>
          </cell>
          <cell r="Q226">
            <v>0.28169927367311387</v>
          </cell>
          <cell r="R226" t="str">
            <v/>
          </cell>
          <cell r="S226">
            <v>0.28169927367311387</v>
          </cell>
          <cell r="T226">
            <v>66.000000000000014</v>
          </cell>
          <cell r="U226" t="str">
            <v>Old</v>
          </cell>
          <cell r="X226">
            <v>27</v>
          </cell>
          <cell r="Y226">
            <v>0.65849999999999997</v>
          </cell>
          <cell r="Z226">
            <v>-4.0478446088997142</v>
          </cell>
          <cell r="AA226">
            <v>-3.5671900000000001</v>
          </cell>
          <cell r="AB226">
            <v>-4.7331157261365142</v>
          </cell>
          <cell r="AC226" t="str">
            <v>BS-4,100</v>
          </cell>
          <cell r="AE226">
            <v>37.5</v>
          </cell>
          <cell r="AF226" t="str">
            <v>16/30</v>
          </cell>
          <cell r="AG226">
            <v>22</v>
          </cell>
          <cell r="AH226">
            <v>51.1</v>
          </cell>
          <cell r="AI226">
            <v>420</v>
          </cell>
          <cell r="AJ226">
            <v>3807.0550652444635</v>
          </cell>
          <cell r="AK226">
            <v>1</v>
          </cell>
          <cell r="AL226" t="str">
            <v>0.02524:-3.56719!66.00000</v>
          </cell>
          <cell r="AM226">
            <v>2.5239999999999999E-2</v>
          </cell>
          <cell r="AN226">
            <v>-3.5671900000000001</v>
          </cell>
          <cell r="AO226">
            <v>0.62681063174670737</v>
          </cell>
          <cell r="AP226">
            <v>66</v>
          </cell>
          <cell r="AQ226">
            <v>66.000000000000014</v>
          </cell>
          <cell r="AR226">
            <v>2.0172045812422672</v>
          </cell>
          <cell r="AS226" t="str">
            <v/>
          </cell>
          <cell r="AT226">
            <v>0</v>
          </cell>
          <cell r="AU226" t="str">
            <v/>
          </cell>
          <cell r="AV226">
            <v>1</v>
          </cell>
          <cell r="AW226" t="str">
            <v>PROBLEM FRAC possible? KH prefrac Estimate is at least 50% higher than for a perfect frac</v>
          </cell>
          <cell r="AY226">
            <v>66.000000000000014</v>
          </cell>
        </row>
        <row r="227">
          <cell r="C227" t="str">
            <v>Prirazlomnoe!965</v>
          </cell>
          <cell r="E227" t="str">
            <v>965</v>
          </cell>
          <cell r="F227">
            <v>2489.8000000000002</v>
          </cell>
          <cell r="G227">
            <v>36753</v>
          </cell>
          <cell r="H227">
            <v>215.9461044</v>
          </cell>
          <cell r="I227">
            <v>100</v>
          </cell>
          <cell r="J227" t="str">
            <v/>
          </cell>
          <cell r="K227" t="str">
            <v/>
          </cell>
          <cell r="L227" t="str">
            <v/>
          </cell>
          <cell r="M227" t="str">
            <v/>
          </cell>
          <cell r="N227" t="str">
            <v/>
          </cell>
          <cell r="O227" t="str">
            <v/>
          </cell>
          <cell r="P227">
            <v>0</v>
          </cell>
          <cell r="Q227">
            <v>0.10627745324940205</v>
          </cell>
          <cell r="R227" t="str">
            <v/>
          </cell>
          <cell r="S227">
            <v>0.10627745324940205</v>
          </cell>
          <cell r="T227">
            <v>24.9</v>
          </cell>
          <cell r="U227" t="str">
            <v>Old</v>
          </cell>
          <cell r="X227">
            <v>77</v>
          </cell>
          <cell r="Y227">
            <v>2.71</v>
          </cell>
          <cell r="Z227">
            <v>-6.7966247583828974</v>
          </cell>
          <cell r="AA227">
            <v>-4.7218299999999997</v>
          </cell>
          <cell r="AB227">
            <v>-5.1447119303362339</v>
          </cell>
          <cell r="AC227" t="str">
            <v>BS-4,99</v>
          </cell>
          <cell r="AE227">
            <v>24.9</v>
          </cell>
          <cell r="AF227" t="str">
            <v>16/20</v>
          </cell>
          <cell r="AG227">
            <v>8.3000000000000007</v>
          </cell>
          <cell r="AH227">
            <v>76.099999999999994</v>
          </cell>
          <cell r="AI227">
            <v>420</v>
          </cell>
          <cell r="AJ227">
            <v>4499.2287036508033</v>
          </cell>
          <cell r="AK227">
            <v>1</v>
          </cell>
          <cell r="AL227" t="str">
            <v>1:-4.72183!211.12361</v>
          </cell>
          <cell r="AM227">
            <v>1</v>
          </cell>
          <cell r="AN227">
            <v>-4.7218299999999997</v>
          </cell>
          <cell r="AO227">
            <v>2.3243134857368273</v>
          </cell>
          <cell r="AP227">
            <v>211.12361000000001</v>
          </cell>
          <cell r="AQ227">
            <v>24.9</v>
          </cell>
          <cell r="AR227">
            <v>25.499292729234163</v>
          </cell>
          <cell r="AS227">
            <v>52.90579861235976</v>
          </cell>
          <cell r="AT227">
            <v>0</v>
          </cell>
          <cell r="AU227" t="str">
            <v/>
          </cell>
          <cell r="AV227">
            <v>0</v>
          </cell>
          <cell r="AW227" t="str">
            <v>Prefrac kh estimate too low by 848%</v>
          </cell>
          <cell r="AY227">
            <v>211.12361000000001</v>
          </cell>
        </row>
        <row r="228">
          <cell r="C228" t="str">
            <v>Sredne-Asomkin!1723</v>
          </cell>
          <cell r="E228" t="str">
            <v>1723</v>
          </cell>
          <cell r="F228">
            <v>2966.95</v>
          </cell>
          <cell r="G228">
            <v>36718</v>
          </cell>
          <cell r="H228">
            <v>263.47525359999997</v>
          </cell>
          <cell r="I228">
            <v>118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 t="str">
            <v/>
          </cell>
          <cell r="O228" t="str">
            <v/>
          </cell>
          <cell r="P228">
            <v>0</v>
          </cell>
          <cell r="Q228">
            <v>0.1856654303754614</v>
          </cell>
          <cell r="R228" t="str">
            <v/>
          </cell>
          <cell r="S228">
            <v>0.1856654303754614</v>
          </cell>
          <cell r="T228">
            <v>43.5</v>
          </cell>
          <cell r="U228" t="str">
            <v>Old</v>
          </cell>
          <cell r="X228">
            <v>77</v>
          </cell>
          <cell r="Y228">
            <v>0.21010000000000001</v>
          </cell>
          <cell r="Z228">
            <v>-0.82270951822683269</v>
          </cell>
          <cell r="AA228">
            <v>0</v>
          </cell>
          <cell r="AB228">
            <v>-4.9231104140428794</v>
          </cell>
          <cell r="AC228" t="str">
            <v>US-1,98</v>
          </cell>
          <cell r="AE228">
            <v>24.5</v>
          </cell>
          <cell r="AF228" t="str">
            <v>12/20</v>
          </cell>
          <cell r="AG228">
            <v>14.5</v>
          </cell>
          <cell r="AH228">
            <v>61.8</v>
          </cell>
          <cell r="AI228">
            <v>590</v>
          </cell>
          <cell r="AJ228">
            <v>4383.4272184296206</v>
          </cell>
          <cell r="AK228">
            <v>1</v>
          </cell>
          <cell r="AL228" t="str">
            <v>0.00000:0.00000!43.50000</v>
          </cell>
          <cell r="AM228">
            <v>0</v>
          </cell>
          <cell r="AN228">
            <v>0</v>
          </cell>
          <cell r="AO228">
            <v>0</v>
          </cell>
          <cell r="AP228">
            <v>43.5</v>
          </cell>
          <cell r="AQ228">
            <v>43.5</v>
          </cell>
          <cell r="AR228">
            <v>1</v>
          </cell>
          <cell r="AS228" t="str">
            <v/>
          </cell>
          <cell r="AT228">
            <v>0</v>
          </cell>
          <cell r="AU228" t="str">
            <v/>
          </cell>
          <cell r="AV228">
            <v>1</v>
          </cell>
          <cell r="AW228" t="str">
            <v>PROBLEM FRAC possible? KH prefrac Estimate is at least 50% higher than for a perfect frac</v>
          </cell>
          <cell r="AY228">
            <v>43.5</v>
          </cell>
        </row>
        <row r="229">
          <cell r="C229" t="str">
            <v>Sredne-Asomkin!1780</v>
          </cell>
          <cell r="E229" t="str">
            <v>1780</v>
          </cell>
          <cell r="F229">
            <v>2967.45</v>
          </cell>
          <cell r="G229">
            <v>36730</v>
          </cell>
          <cell r="H229">
            <v>259.34538759999998</v>
          </cell>
          <cell r="I229">
            <v>93</v>
          </cell>
          <cell r="J229" t="str">
            <v/>
          </cell>
          <cell r="K229" t="str">
            <v/>
          </cell>
          <cell r="L229" t="str">
            <v/>
          </cell>
          <cell r="M229" t="str">
            <v/>
          </cell>
          <cell r="N229" t="str">
            <v/>
          </cell>
          <cell r="O229" t="str">
            <v/>
          </cell>
          <cell r="P229">
            <v>0</v>
          </cell>
          <cell r="Q229">
            <v>0.22279851645055368</v>
          </cell>
          <cell r="R229" t="str">
            <v/>
          </cell>
          <cell r="S229">
            <v>0.22279851645055368</v>
          </cell>
          <cell r="T229">
            <v>52.199999999999989</v>
          </cell>
          <cell r="U229" t="str">
            <v>Old</v>
          </cell>
          <cell r="X229">
            <v>27.67</v>
          </cell>
          <cell r="Y229">
            <v>0.7036</v>
          </cell>
          <cell r="Z229">
            <v>-4.8340133836224393</v>
          </cell>
          <cell r="AA229">
            <v>-4.5541499999999999</v>
          </cell>
          <cell r="AB229">
            <v>-4.5219959767558731</v>
          </cell>
          <cell r="AC229" t="str">
            <v>US-1,58</v>
          </cell>
          <cell r="AE229">
            <v>20.6</v>
          </cell>
          <cell r="AF229" t="str">
            <v>12/20</v>
          </cell>
          <cell r="AG229">
            <v>26.1</v>
          </cell>
          <cell r="AH229">
            <v>39.200000000000003</v>
          </cell>
          <cell r="AI229">
            <v>590</v>
          </cell>
          <cell r="AJ229">
            <v>3370.1197870452525</v>
          </cell>
          <cell r="AK229">
            <v>1</v>
          </cell>
          <cell r="AL229" t="str">
            <v>1:-4.55415!41.30727</v>
          </cell>
          <cell r="AM229">
            <v>1</v>
          </cell>
          <cell r="AN229">
            <v>-4.5541499999999999</v>
          </cell>
          <cell r="AO229">
            <v>54.321691474130311</v>
          </cell>
          <cell r="AP229">
            <v>41.307270000000003</v>
          </cell>
          <cell r="AQ229">
            <v>52.199999999999989</v>
          </cell>
          <cell r="AR229">
            <v>2.2214740865602312</v>
          </cell>
          <cell r="AS229" t="str">
            <v/>
          </cell>
          <cell r="AT229">
            <v>0</v>
          </cell>
          <cell r="AU229" t="str">
            <v/>
          </cell>
          <cell r="AV229">
            <v>0</v>
          </cell>
          <cell r="AW229" t="str">
            <v>Prefrac  kh estimate acceptable</v>
          </cell>
          <cell r="AY229">
            <v>52.199999999999989</v>
          </cell>
        </row>
        <row r="230">
          <cell r="C230" t="str">
            <v>Sredne-Asomkin!1803</v>
          </cell>
          <cell r="E230" t="str">
            <v>1803</v>
          </cell>
          <cell r="F230">
            <v>2832.7</v>
          </cell>
          <cell r="G230">
            <v>36718</v>
          </cell>
          <cell r="H230">
            <v>289.30476119999997</v>
          </cell>
          <cell r="I230">
            <v>108.4880108</v>
          </cell>
          <cell r="J230" t="str">
            <v/>
          </cell>
          <cell r="K230" t="str">
            <v/>
          </cell>
          <cell r="L230" t="str">
            <v/>
          </cell>
          <cell r="M230" t="str">
            <v/>
          </cell>
          <cell r="N230" t="str">
            <v/>
          </cell>
          <cell r="O230" t="str">
            <v/>
          </cell>
          <cell r="P230">
            <v>0</v>
          </cell>
          <cell r="Q230">
            <v>0.15365414927624393</v>
          </cell>
          <cell r="R230" t="str">
            <v/>
          </cell>
          <cell r="S230">
            <v>0.15365414927624393</v>
          </cell>
          <cell r="T230">
            <v>36</v>
          </cell>
          <cell r="U230" t="str">
            <v>Old</v>
          </cell>
          <cell r="X230">
            <v>35</v>
          </cell>
          <cell r="Y230">
            <v>0.94220000000000004</v>
          </cell>
          <cell r="Z230">
            <v>-5.9204092864462616</v>
          </cell>
          <cell r="AA230">
            <v>-4.9028</v>
          </cell>
          <cell r="AB230">
            <v>-4.9082676996224137</v>
          </cell>
          <cell r="AC230" t="str">
            <v>US-I,100</v>
          </cell>
          <cell r="AE230">
            <v>23.18</v>
          </cell>
          <cell r="AF230" t="str">
            <v>12/20</v>
          </cell>
          <cell r="AG230">
            <v>12</v>
          </cell>
          <cell r="AH230">
            <v>59.7</v>
          </cell>
          <cell r="AI230">
            <v>590</v>
          </cell>
          <cell r="AJ230">
            <v>5187.5470346903603</v>
          </cell>
          <cell r="AK230">
            <v>1</v>
          </cell>
          <cell r="AL230" t="str">
            <v>1:-4.90280!65.99744</v>
          </cell>
          <cell r="AM230">
            <v>1</v>
          </cell>
          <cell r="AN230">
            <v>-4.9028</v>
          </cell>
          <cell r="AO230">
            <v>15.799446494414232</v>
          </cell>
          <cell r="AP230">
            <v>65.997439999999997</v>
          </cell>
          <cell r="AQ230">
            <v>36</v>
          </cell>
          <cell r="AR230">
            <v>5.9728751348863165</v>
          </cell>
          <cell r="AS230">
            <v>5.8945352991083579</v>
          </cell>
          <cell r="AT230">
            <v>0</v>
          </cell>
          <cell r="AU230" t="str">
            <v/>
          </cell>
          <cell r="AV230">
            <v>0</v>
          </cell>
          <cell r="AW230" t="str">
            <v>Prefrac kh estimate too low by 183%</v>
          </cell>
          <cell r="AY230">
            <v>65.997439999999997</v>
          </cell>
        </row>
        <row r="231">
          <cell r="C231" t="str">
            <v>Sredne-Asomkin!1805</v>
          </cell>
          <cell r="E231" t="str">
            <v>1805</v>
          </cell>
          <cell r="F231">
            <v>2954.75</v>
          </cell>
          <cell r="G231">
            <v>36747</v>
          </cell>
          <cell r="H231">
            <v>258.30527319999999</v>
          </cell>
          <cell r="I231">
            <v>116.1155164</v>
          </cell>
          <cell r="J231">
            <v>29.925000000000001</v>
          </cell>
          <cell r="K231">
            <v>35</v>
          </cell>
          <cell r="L231">
            <v>5</v>
          </cell>
          <cell r="M231">
            <v>95</v>
          </cell>
          <cell r="N231">
            <v>1138</v>
          </cell>
          <cell r="O231">
            <v>176.50749999999999</v>
          </cell>
          <cell r="P231">
            <v>0</v>
          </cell>
          <cell r="R231">
            <v>0.42788450871912004</v>
          </cell>
          <cell r="S231">
            <v>0.42788450871912004</v>
          </cell>
          <cell r="T231">
            <v>100.25009013062734</v>
          </cell>
          <cell r="U231" t="str">
            <v>Old</v>
          </cell>
          <cell r="X231">
            <v>69</v>
          </cell>
          <cell r="Y231">
            <v>0.32029999999999997</v>
          </cell>
          <cell r="Z231">
            <v>2.376077941724712</v>
          </cell>
          <cell r="AA231">
            <v>0</v>
          </cell>
          <cell r="AB231">
            <v>-5.1379547084421038</v>
          </cell>
          <cell r="AC231" t="str">
            <v>US-1,98</v>
          </cell>
          <cell r="AE231">
            <v>21.5</v>
          </cell>
          <cell r="AF231" t="str">
            <v>12/20</v>
          </cell>
          <cell r="AG231">
            <v>10.6</v>
          </cell>
          <cell r="AH231">
            <v>98</v>
          </cell>
          <cell r="AI231">
            <v>590</v>
          </cell>
          <cell r="AJ231">
            <v>3318.2622926118765</v>
          </cell>
          <cell r="AK231">
            <v>1</v>
          </cell>
          <cell r="AL231" t="str">
            <v>0.00000:0.00000!100.25009</v>
          </cell>
          <cell r="AM231">
            <v>0</v>
          </cell>
          <cell r="AN231">
            <v>0</v>
          </cell>
          <cell r="AO231">
            <v>0</v>
          </cell>
          <cell r="AP231">
            <v>100.25009</v>
          </cell>
          <cell r="AQ231">
            <v>100.25009013062734</v>
          </cell>
          <cell r="AR231">
            <v>1</v>
          </cell>
          <cell r="AS231" t="str">
            <v/>
          </cell>
          <cell r="AT231">
            <v>0</v>
          </cell>
          <cell r="AU231" t="str">
            <v/>
          </cell>
          <cell r="AV231">
            <v>0</v>
          </cell>
          <cell r="AW231" t="str">
            <v>Proppant Pack damage=0%</v>
          </cell>
          <cell r="AY231">
            <v>100.25009013062734</v>
          </cell>
        </row>
        <row r="232">
          <cell r="C232" t="str">
            <v>Sredne-Asomkin!377</v>
          </cell>
          <cell r="E232" t="str">
            <v>377</v>
          </cell>
          <cell r="F232">
            <v>2922.6</v>
          </cell>
          <cell r="G232">
            <v>36713</v>
          </cell>
          <cell r="H232">
            <v>258.30527319999999</v>
          </cell>
          <cell r="I232">
            <v>113.596808</v>
          </cell>
          <cell r="J232">
            <v>36.126000000000005</v>
          </cell>
          <cell r="K232">
            <v>44.6</v>
          </cell>
          <cell r="L232">
            <v>10</v>
          </cell>
          <cell r="M232">
            <v>90</v>
          </cell>
          <cell r="N232">
            <v>1863</v>
          </cell>
          <cell r="O232">
            <v>108.36399999999999</v>
          </cell>
          <cell r="P232">
            <v>0</v>
          </cell>
          <cell r="R232">
            <v>0.29766246711638916</v>
          </cell>
          <cell r="S232">
            <v>0.29766246711638916</v>
          </cell>
          <cell r="T232">
            <v>69.74005496541939</v>
          </cell>
          <cell r="U232" t="str">
            <v>Old</v>
          </cell>
          <cell r="X232">
            <v>47</v>
          </cell>
          <cell r="Y232">
            <v>0.69199999999999995</v>
          </cell>
          <cell r="Z232">
            <v>-4.0311587448355777</v>
          </cell>
          <cell r="AA232">
            <v>-4.0311599999999999</v>
          </cell>
          <cell r="AB232">
            <v>-4.8055694627813832</v>
          </cell>
          <cell r="AC232" t="str">
            <v>US-1,41</v>
          </cell>
          <cell r="AE232">
            <v>16.239999999999998</v>
          </cell>
          <cell r="AF232" t="str">
            <v>12/20</v>
          </cell>
          <cell r="AG232">
            <v>11.2</v>
          </cell>
          <cell r="AH232">
            <v>54.2</v>
          </cell>
          <cell r="AI232">
            <v>590</v>
          </cell>
          <cell r="AJ232">
            <v>4289.1665329696771</v>
          </cell>
          <cell r="AK232">
            <v>1</v>
          </cell>
          <cell r="AL232" t="str">
            <v>0.08911:-4.03116!69.74005</v>
          </cell>
          <cell r="AM232">
            <v>8.9109999999999995E-2</v>
          </cell>
          <cell r="AN232">
            <v>-4.0311599999999999</v>
          </cell>
          <cell r="AO232">
            <v>1.1324938025408522</v>
          </cell>
          <cell r="AP232">
            <v>69.740049999999997</v>
          </cell>
          <cell r="AQ232">
            <v>69.74005496541939</v>
          </cell>
          <cell r="AR232">
            <v>2.3247817978122676</v>
          </cell>
          <cell r="AS232" t="str">
            <v/>
          </cell>
          <cell r="AT232">
            <v>0</v>
          </cell>
          <cell r="AU232" t="str">
            <v/>
          </cell>
          <cell r="AV232">
            <v>0</v>
          </cell>
          <cell r="AW232" t="str">
            <v>Proppant Pack damage=9%</v>
          </cell>
          <cell r="AY232">
            <v>69.74005496541939</v>
          </cell>
        </row>
        <row r="233">
          <cell r="C233" t="str">
            <v>Sredne-Asomkin!9025</v>
          </cell>
          <cell r="E233" t="str">
            <v>9025</v>
          </cell>
          <cell r="F233">
            <v>2931.5</v>
          </cell>
          <cell r="G233">
            <v>36731</v>
          </cell>
          <cell r="H233">
            <v>258.30527319999999</v>
          </cell>
          <cell r="I233">
            <v>93</v>
          </cell>
          <cell r="J233">
            <v>72.09</v>
          </cell>
          <cell r="K233">
            <v>89</v>
          </cell>
          <cell r="L233">
            <v>10</v>
          </cell>
          <cell r="M233">
            <v>90</v>
          </cell>
          <cell r="N233">
            <v>1302</v>
          </cell>
          <cell r="O233">
            <v>159.655</v>
          </cell>
          <cell r="P233">
            <v>0</v>
          </cell>
          <cell r="R233">
            <v>0.9021769237229037</v>
          </cell>
          <cell r="S233">
            <v>0.9021769237229037</v>
          </cell>
          <cell r="T233">
            <v>211.37320018370588</v>
          </cell>
          <cell r="U233" t="str">
            <v>Old</v>
          </cell>
          <cell r="X233">
            <v>50</v>
          </cell>
          <cell r="Y233">
            <v>1.41</v>
          </cell>
          <cell r="Z233">
            <v>-2.5477757496161448</v>
          </cell>
          <cell r="AA233">
            <v>-2.5480299999999998</v>
          </cell>
          <cell r="AB233">
            <v>-4.9011215110593778</v>
          </cell>
          <cell r="AC233" t="str">
            <v>US-1,100</v>
          </cell>
          <cell r="AE233">
            <v>29.58</v>
          </cell>
          <cell r="AF233" t="str">
            <v>16/20</v>
          </cell>
          <cell r="AG233">
            <v>19.2</v>
          </cell>
          <cell r="AH233">
            <v>60</v>
          </cell>
          <cell r="AI233">
            <v>420</v>
          </cell>
          <cell r="AJ233">
            <v>2930.5366847826085</v>
          </cell>
          <cell r="AK233">
            <v>1</v>
          </cell>
          <cell r="AL233" t="str">
            <v>0.03650:-2.54803!211.37320</v>
          </cell>
          <cell r="AM233">
            <v>3.6499999999999998E-2</v>
          </cell>
          <cell r="AN233">
            <v>-2.5480299999999998</v>
          </cell>
          <cell r="AO233">
            <v>0.16193476031143431</v>
          </cell>
          <cell r="AP233">
            <v>211.3732</v>
          </cell>
          <cell r="AQ233">
            <v>211.37320018370588</v>
          </cell>
          <cell r="AR233">
            <v>1.56297414633271</v>
          </cell>
          <cell r="AS233" t="str">
            <v/>
          </cell>
          <cell r="AT233">
            <v>0</v>
          </cell>
          <cell r="AU233" t="str">
            <v/>
          </cell>
          <cell r="AV233">
            <v>0</v>
          </cell>
          <cell r="AW233" t="str">
            <v>Proppant Pack damage=4%</v>
          </cell>
          <cell r="AY233">
            <v>211.37320018370588</v>
          </cell>
        </row>
        <row r="234">
          <cell r="C234" t="str">
            <v>Sredne-Asomkin!9118</v>
          </cell>
          <cell r="E234" t="str">
            <v>9118</v>
          </cell>
          <cell r="F234">
            <v>2934.7</v>
          </cell>
          <cell r="G234">
            <v>36724</v>
          </cell>
          <cell r="H234">
            <v>258.30527319999999</v>
          </cell>
          <cell r="I234">
            <v>93</v>
          </cell>
          <cell r="J234">
            <v>4.2750000000000004</v>
          </cell>
          <cell r="K234">
            <v>5</v>
          </cell>
          <cell r="L234">
            <v>5</v>
          </cell>
          <cell r="M234">
            <v>95</v>
          </cell>
          <cell r="N234">
            <v>822</v>
          </cell>
          <cell r="O234">
            <v>203.14299999999997</v>
          </cell>
          <cell r="P234">
            <v>0</v>
          </cell>
          <cell r="R234">
            <v>9.064165977844435E-2</v>
          </cell>
          <cell r="S234">
            <v>9.064165977844435E-2</v>
          </cell>
          <cell r="T234">
            <v>21.236652361124985</v>
          </cell>
          <cell r="U234" t="str">
            <v>Old</v>
          </cell>
          <cell r="X234">
            <v>33</v>
          </cell>
          <cell r="Y234">
            <v>1.2476</v>
          </cell>
          <cell r="Z234">
            <v>-6.5600966105893015</v>
          </cell>
          <cell r="AA234">
            <v>-5.0287699999999997</v>
          </cell>
          <cell r="AB234">
            <v>-4.9829565398215188</v>
          </cell>
          <cell r="AC234" t="str">
            <v>US-I,100</v>
          </cell>
          <cell r="AE234">
            <v>20.399999999999999</v>
          </cell>
          <cell r="AF234" t="str">
            <v>12/20</v>
          </cell>
          <cell r="AG234">
            <v>12.2</v>
          </cell>
          <cell r="AH234">
            <v>76.599999999999994</v>
          </cell>
          <cell r="AI234">
            <v>590</v>
          </cell>
          <cell r="AJ234">
            <v>3499.8204146653293</v>
          </cell>
          <cell r="AK234">
            <v>1</v>
          </cell>
          <cell r="AL234" t="str">
            <v>1:-5.02877!84.51200</v>
          </cell>
          <cell r="AM234">
            <v>1</v>
          </cell>
          <cell r="AN234">
            <v>-5.0287699999999997</v>
          </cell>
          <cell r="AO234">
            <v>6.5956627567647192</v>
          </cell>
          <cell r="AP234">
            <v>84.512</v>
          </cell>
          <cell r="AQ234">
            <v>21.236652361124985</v>
          </cell>
          <cell r="AR234">
            <v>13.76411452116211</v>
          </cell>
          <cell r="AS234">
            <v>21.077367229955311</v>
          </cell>
          <cell r="AT234">
            <v>0</v>
          </cell>
          <cell r="AU234" t="str">
            <v/>
          </cell>
          <cell r="AV234">
            <v>0</v>
          </cell>
          <cell r="AW234" t="str">
            <v>DAMMAGED formation S =21.1</v>
          </cell>
          <cell r="AY234">
            <v>84.512</v>
          </cell>
        </row>
        <row r="235">
          <cell r="C235" t="str">
            <v>Sredne-Asomkin!9146</v>
          </cell>
          <cell r="E235" t="str">
            <v>9146</v>
          </cell>
          <cell r="F235">
            <v>2930.1</v>
          </cell>
          <cell r="G235">
            <v>36730</v>
          </cell>
          <cell r="H235">
            <v>274.83493440000001</v>
          </cell>
          <cell r="I235">
            <v>93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 t="str">
            <v/>
          </cell>
          <cell r="P235">
            <v>0</v>
          </cell>
          <cell r="Q235">
            <v>0.16645866171593093</v>
          </cell>
          <cell r="R235" t="str">
            <v/>
          </cell>
          <cell r="S235">
            <v>0.16645866171593093</v>
          </cell>
          <cell r="T235">
            <v>39.000000000000007</v>
          </cell>
          <cell r="U235" t="str">
            <v>Old</v>
          </cell>
          <cell r="X235">
            <v>31.5</v>
          </cell>
          <cell r="Y235">
            <v>0.61760000000000004</v>
          </cell>
          <cell r="Z235">
            <v>-5.1674135110440211</v>
          </cell>
          <cell r="AA235">
            <v>-5.2190000000000003</v>
          </cell>
          <cell r="AB235">
            <v>-5.1720252819909005</v>
          </cell>
          <cell r="AC235" t="str">
            <v>US-1,100</v>
          </cell>
          <cell r="AE235">
            <v>27.1</v>
          </cell>
          <cell r="AF235" t="str">
            <v>16/20</v>
          </cell>
          <cell r="AG235">
            <v>13</v>
          </cell>
          <cell r="AH235">
            <v>82.9</v>
          </cell>
          <cell r="AI235">
            <v>420</v>
          </cell>
          <cell r="AJ235">
            <v>2869.9404125533038</v>
          </cell>
          <cell r="AK235">
            <v>1</v>
          </cell>
          <cell r="AL235" t="str">
            <v>1:-5.21900!27.13961</v>
          </cell>
          <cell r="AM235">
            <v>1</v>
          </cell>
          <cell r="AN235">
            <v>-5.2190000000000003</v>
          </cell>
          <cell r="AO235">
            <v>16.582809016017222</v>
          </cell>
          <cell r="AP235">
            <v>27.139610000000001</v>
          </cell>
          <cell r="AQ235">
            <v>39.000000000000007</v>
          </cell>
          <cell r="AR235">
            <v>2.6537022322389334</v>
          </cell>
          <cell r="AS235" t="str">
            <v/>
          </cell>
          <cell r="AT235">
            <v>0</v>
          </cell>
          <cell r="AU235" t="str">
            <v/>
          </cell>
          <cell r="AV235">
            <v>0</v>
          </cell>
          <cell r="AW235" t="str">
            <v>Prefrac  kh estimate acceptable</v>
          </cell>
          <cell r="AY235">
            <v>39.000000000000007</v>
          </cell>
        </row>
        <row r="236">
          <cell r="C236" t="str">
            <v>Sredny Balik!3114</v>
          </cell>
          <cell r="E236" t="str">
            <v>3114</v>
          </cell>
          <cell r="F236">
            <v>2768.2</v>
          </cell>
          <cell r="G236">
            <v>36849</v>
          </cell>
          <cell r="H236">
            <v>254</v>
          </cell>
          <cell r="I236">
            <v>104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 t="str">
            <v/>
          </cell>
          <cell r="P236">
            <v>0</v>
          </cell>
          <cell r="Q236">
            <v>6.9144367174309773E-2</v>
          </cell>
          <cell r="R236" t="str">
            <v/>
          </cell>
          <cell r="S236">
            <v>6.9144367174309773E-2</v>
          </cell>
          <cell r="T236">
            <v>16.200000000000003</v>
          </cell>
          <cell r="U236" t="str">
            <v>Old</v>
          </cell>
          <cell r="X236">
            <v>37</v>
          </cell>
          <cell r="Y236">
            <v>0.92</v>
          </cell>
          <cell r="Z236">
            <v>-6.5423824947882387</v>
          </cell>
          <cell r="AA236">
            <v>-5.0262399999999996</v>
          </cell>
          <cell r="AB236">
            <v>-5.0753744452504934</v>
          </cell>
          <cell r="AC236" t="str">
            <v>BS-18-20,100/BS-15,100</v>
          </cell>
          <cell r="AE236">
            <v>35.5</v>
          </cell>
          <cell r="AF236" t="str">
            <v>16/30</v>
          </cell>
          <cell r="AG236">
            <v>10.8</v>
          </cell>
          <cell r="AH236">
            <v>68.8</v>
          </cell>
          <cell r="AI236">
            <v>420</v>
          </cell>
          <cell r="AJ236">
            <v>5452.7756712728906</v>
          </cell>
          <cell r="AK236">
            <v>2</v>
          </cell>
          <cell r="AL236" t="str">
            <v>1:-5.02624!62.16018</v>
          </cell>
          <cell r="AM236">
            <v>1</v>
          </cell>
          <cell r="AN236">
            <v>-5.0262399999999996</v>
          </cell>
          <cell r="AO236">
            <v>13.770213851589599</v>
          </cell>
          <cell r="AP236">
            <v>62.160179999999997</v>
          </cell>
          <cell r="AQ236">
            <v>16.200000000000003</v>
          </cell>
          <cell r="AR236">
            <v>13.254895728390238</v>
          </cell>
          <cell r="AS236">
            <v>20.069409135014634</v>
          </cell>
          <cell r="AT236">
            <v>0</v>
          </cell>
          <cell r="AU236" t="str">
            <v/>
          </cell>
          <cell r="AV236">
            <v>0</v>
          </cell>
          <cell r="AW236" t="str">
            <v>Prefrac kh estimate too low by 384%</v>
          </cell>
          <cell r="AY236">
            <v>62.160179999999997</v>
          </cell>
        </row>
        <row r="237">
          <cell r="C237" t="str">
            <v>Sredny Balik!3134</v>
          </cell>
          <cell r="E237" t="str">
            <v>3134</v>
          </cell>
          <cell r="F237">
            <v>2751.3</v>
          </cell>
          <cell r="G237">
            <v>36865</v>
          </cell>
          <cell r="H237">
            <v>240</v>
          </cell>
          <cell r="I237">
            <v>104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 t="str">
            <v/>
          </cell>
          <cell r="O237" t="str">
            <v/>
          </cell>
          <cell r="P237">
            <v>0</v>
          </cell>
          <cell r="Q237">
            <v>0.1856654303754614</v>
          </cell>
          <cell r="R237" t="str">
            <v/>
          </cell>
          <cell r="S237">
            <v>0.1856654303754614</v>
          </cell>
          <cell r="T237">
            <v>43.5</v>
          </cell>
          <cell r="U237" t="str">
            <v>Old</v>
          </cell>
          <cell r="X237">
            <v>17.5</v>
          </cell>
          <cell r="Y237">
            <v>0.47120000000000001</v>
          </cell>
          <cell r="Z237">
            <v>-4.2866822648854743</v>
          </cell>
          <cell r="AA237">
            <v>-3.34998</v>
          </cell>
          <cell r="AB237">
            <v>-4.8650504097427349</v>
          </cell>
          <cell r="AC237" t="str">
            <v>BS-18-20,82</v>
          </cell>
          <cell r="AE237">
            <v>29.51</v>
          </cell>
          <cell r="AF237" t="str">
            <v>20/40</v>
          </cell>
          <cell r="AG237">
            <v>29</v>
          </cell>
          <cell r="AH237">
            <v>68</v>
          </cell>
          <cell r="AI237">
            <v>250</v>
          </cell>
          <cell r="AJ237">
            <v>1179.2679028132991</v>
          </cell>
          <cell r="AK237">
            <v>1</v>
          </cell>
          <cell r="AL237" t="str">
            <v>0.03439:-3.34998!43.50000</v>
          </cell>
          <cell r="AM237">
            <v>3.4389999999999997E-2</v>
          </cell>
          <cell r="AN237">
            <v>-3.34998</v>
          </cell>
          <cell r="AO237">
            <v>0.39759826644852309</v>
          </cell>
          <cell r="AP237">
            <v>43.5</v>
          </cell>
          <cell r="AQ237">
            <v>43.5</v>
          </cell>
          <cell r="AR237">
            <v>1.899549038667476</v>
          </cell>
          <cell r="AS237" t="str">
            <v/>
          </cell>
          <cell r="AT237">
            <v>0</v>
          </cell>
          <cell r="AU237" t="str">
            <v/>
          </cell>
          <cell r="AV237">
            <v>1</v>
          </cell>
          <cell r="AW237" t="str">
            <v>PROBLEM FRAC possible? KH prefrac Estimate is at least 50% higher than for a perfect frac</v>
          </cell>
          <cell r="AY237">
            <v>43.5</v>
          </cell>
        </row>
        <row r="238">
          <cell r="C238" t="str">
            <v>Ugutskoe!206</v>
          </cell>
          <cell r="E238" t="str">
            <v>206</v>
          </cell>
          <cell r="F238">
            <v>2884.9</v>
          </cell>
          <cell r="G238">
            <v>36759</v>
          </cell>
          <cell r="H238">
            <v>253.14549</v>
          </cell>
          <cell r="I238">
            <v>104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 t="str">
            <v/>
          </cell>
          <cell r="P238">
            <v>0</v>
          </cell>
          <cell r="Q238">
            <v>0.36339206303831689</v>
          </cell>
          <cell r="R238" t="str">
            <v/>
          </cell>
          <cell r="S238">
            <v>0.36339206303831689</v>
          </cell>
          <cell r="T238">
            <v>85.139999999999986</v>
          </cell>
          <cell r="U238" t="str">
            <v>Old</v>
          </cell>
          <cell r="X238">
            <v>28.8</v>
          </cell>
          <cell r="Y238">
            <v>0.96460000000000001</v>
          </cell>
          <cell r="Z238">
            <v>-4.4090530874548373</v>
          </cell>
          <cell r="AA238">
            <v>-4.8195899999999998</v>
          </cell>
          <cell r="AB238">
            <v>-4.6828503342942431</v>
          </cell>
          <cell r="AC238" t="str">
            <v>US-1,95</v>
          </cell>
          <cell r="AE238">
            <v>25.9</v>
          </cell>
          <cell r="AF238" t="str">
            <v>16/30</v>
          </cell>
          <cell r="AG238">
            <v>19.8</v>
          </cell>
          <cell r="AH238">
            <v>54.3</v>
          </cell>
          <cell r="AI238">
            <v>420</v>
          </cell>
          <cell r="AJ238">
            <v>2749.3891594299948</v>
          </cell>
          <cell r="AK238">
            <v>1</v>
          </cell>
          <cell r="AL238" t="str">
            <v>1:-4.81959!57.61588</v>
          </cell>
          <cell r="AM238">
            <v>1</v>
          </cell>
          <cell r="AN238">
            <v>-4.8195899999999998</v>
          </cell>
          <cell r="AO238">
            <v>17.400405816830542</v>
          </cell>
          <cell r="AP238">
            <v>57.615879999999997</v>
          </cell>
          <cell r="AQ238">
            <v>85.139999999999986</v>
          </cell>
          <cell r="AR238">
            <v>2.1234139596032122</v>
          </cell>
          <cell r="AS238" t="str">
            <v/>
          </cell>
          <cell r="AT238">
            <v>0</v>
          </cell>
          <cell r="AU238" t="str">
            <v/>
          </cell>
          <cell r="AV238">
            <v>0</v>
          </cell>
          <cell r="AW238" t="str">
            <v>Prefrac  kh estimate acceptable</v>
          </cell>
          <cell r="AY238">
            <v>85.139999999999986</v>
          </cell>
        </row>
        <row r="239">
          <cell r="C239" t="str">
            <v>Ugutskoe!824</v>
          </cell>
          <cell r="E239" t="str">
            <v>824</v>
          </cell>
          <cell r="F239">
            <v>2928.75</v>
          </cell>
          <cell r="G239">
            <v>36768</v>
          </cell>
          <cell r="H239">
            <v>220</v>
          </cell>
          <cell r="I239">
            <v>104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 t="str">
            <v/>
          </cell>
          <cell r="P239">
            <v>0</v>
          </cell>
          <cell r="Q239">
            <v>0.46907197237386683</v>
          </cell>
          <cell r="R239" t="str">
            <v/>
          </cell>
          <cell r="S239">
            <v>0.46907197237386683</v>
          </cell>
          <cell r="T239">
            <v>109.89999999999998</v>
          </cell>
          <cell r="U239" t="str">
            <v>Old</v>
          </cell>
          <cell r="X239">
            <v>30.5</v>
          </cell>
          <cell r="Y239">
            <v>1.0952</v>
          </cell>
          <cell r="Z239">
            <v>-4.0442462345817809</v>
          </cell>
          <cell r="AA239">
            <v>-4.9334600000000002</v>
          </cell>
          <cell r="AB239">
            <v>-4.7419038441827759</v>
          </cell>
          <cell r="AC239" t="str">
            <v>US-1,99</v>
          </cell>
          <cell r="AE239">
            <v>31.79</v>
          </cell>
          <cell r="AF239" t="str">
            <v>16/30</v>
          </cell>
          <cell r="AG239">
            <v>15.7</v>
          </cell>
          <cell r="AH239">
            <v>62.6</v>
          </cell>
          <cell r="AI239">
            <v>420</v>
          </cell>
          <cell r="AJ239">
            <v>3691.6287028541647</v>
          </cell>
          <cell r="AK239">
            <v>1</v>
          </cell>
          <cell r="AL239" t="str">
            <v>1:-4.93346!69.51007</v>
          </cell>
          <cell r="AM239">
            <v>1</v>
          </cell>
          <cell r="AN239">
            <v>-4.9334600000000002</v>
          </cell>
          <cell r="AO239">
            <v>13.319735700733188</v>
          </cell>
          <cell r="AP239">
            <v>69.510069999999999</v>
          </cell>
          <cell r="AQ239">
            <v>109.89999999999998</v>
          </cell>
          <cell r="AR239">
            <v>2.0901874257291939</v>
          </cell>
          <cell r="AS239" t="str">
            <v/>
          </cell>
          <cell r="AT239">
            <v>0</v>
          </cell>
          <cell r="AU239" t="str">
            <v/>
          </cell>
          <cell r="AV239">
            <v>0</v>
          </cell>
          <cell r="AW239" t="str">
            <v>Prefrac  kh estimate acceptable</v>
          </cell>
          <cell r="AY239">
            <v>109.89999999999998</v>
          </cell>
        </row>
        <row r="240">
          <cell r="C240" t="str">
            <v>Ugutskoe!900</v>
          </cell>
          <cell r="E240" t="str">
            <v>900</v>
          </cell>
          <cell r="F240">
            <v>2882.45</v>
          </cell>
          <cell r="G240">
            <v>36760</v>
          </cell>
          <cell r="H240">
            <v>257.61186359999999</v>
          </cell>
          <cell r="I240">
            <v>104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 t="str">
            <v/>
          </cell>
          <cell r="P240">
            <v>0</v>
          </cell>
          <cell r="Q240">
            <v>0.39437898314235936</v>
          </cell>
          <cell r="R240" t="str">
            <v/>
          </cell>
          <cell r="S240">
            <v>0.39437898314235936</v>
          </cell>
          <cell r="T240">
            <v>92.399999999999991</v>
          </cell>
          <cell r="U240" t="str">
            <v>Old</v>
          </cell>
          <cell r="X240">
            <v>31.33</v>
          </cell>
          <cell r="Y240">
            <v>0.89439999999999997</v>
          </cell>
          <cell r="Z240">
            <v>-3.9547983895864256</v>
          </cell>
          <cell r="AA240">
            <v>-4.7309599999999996</v>
          </cell>
          <cell r="AB240">
            <v>-4.5945233700399362</v>
          </cell>
          <cell r="AC240" t="str">
            <v>US-1,90</v>
          </cell>
          <cell r="AE240">
            <v>25</v>
          </cell>
          <cell r="AF240" t="str">
            <v>16/30</v>
          </cell>
          <cell r="AG240">
            <v>26.4</v>
          </cell>
          <cell r="AH240">
            <v>48.6</v>
          </cell>
          <cell r="AI240">
            <v>420</v>
          </cell>
          <cell r="AJ240">
            <v>2348.3628556092326</v>
          </cell>
          <cell r="AK240">
            <v>1</v>
          </cell>
          <cell r="AL240" t="str">
            <v>1:-4.73096!52.62748</v>
          </cell>
          <cell r="AM240">
            <v>1</v>
          </cell>
          <cell r="AN240">
            <v>-4.7309599999999996</v>
          </cell>
          <cell r="AO240">
            <v>24.239311798211713</v>
          </cell>
          <cell r="AP240">
            <v>52.627479999999998</v>
          </cell>
          <cell r="AQ240">
            <v>92.399999999999991</v>
          </cell>
          <cell r="AR240">
            <v>1.7195715561831328</v>
          </cell>
          <cell r="AS240" t="str">
            <v/>
          </cell>
          <cell r="AT240">
            <v>0</v>
          </cell>
          <cell r="AU240" t="str">
            <v/>
          </cell>
          <cell r="AV240">
            <v>0</v>
          </cell>
          <cell r="AW240" t="str">
            <v>Prefrac  kh estimate acceptable</v>
          </cell>
          <cell r="AY240">
            <v>92.399999999999991</v>
          </cell>
        </row>
        <row r="241">
          <cell r="C241" t="str">
            <v>Ugutskoe!932</v>
          </cell>
          <cell r="E241" t="str">
            <v>932</v>
          </cell>
          <cell r="F241">
            <v>2879.2</v>
          </cell>
          <cell r="G241">
            <v>36792</v>
          </cell>
          <cell r="H241">
            <v>253.85929400000001</v>
          </cell>
          <cell r="I241">
            <v>104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 t="str">
            <v/>
          </cell>
          <cell r="P241">
            <v>0</v>
          </cell>
          <cell r="Q241">
            <v>0.26121205376961465</v>
          </cell>
          <cell r="R241" t="str">
            <v/>
          </cell>
          <cell r="S241">
            <v>0.26121205376961465</v>
          </cell>
          <cell r="T241">
            <v>61.2</v>
          </cell>
          <cell r="U241" t="str">
            <v>Old</v>
          </cell>
          <cell r="X241">
            <v>33.67</v>
          </cell>
          <cell r="Y241">
            <v>0.39639999999999997</v>
          </cell>
          <cell r="Z241">
            <v>-2.4125271234785872</v>
          </cell>
          <cell r="AA241">
            <v>-2.0331600000000001</v>
          </cell>
          <cell r="AB241">
            <v>-4.6555098082341253</v>
          </cell>
          <cell r="AC241" t="str">
            <v>US-1,100</v>
          </cell>
          <cell r="AE241">
            <v>27.8</v>
          </cell>
          <cell r="AF241" t="str">
            <v>16/30</v>
          </cell>
          <cell r="AG241">
            <v>20.399999999999999</v>
          </cell>
          <cell r="AH241">
            <v>47.7</v>
          </cell>
          <cell r="AI241">
            <v>420</v>
          </cell>
          <cell r="AJ241">
            <v>3260.6014787648719</v>
          </cell>
          <cell r="AK241">
            <v>1</v>
          </cell>
          <cell r="AL241" t="str">
            <v>0.00525:-2.03316!61.20000</v>
          </cell>
          <cell r="AM241">
            <v>5.2500000000000003E-3</v>
          </cell>
          <cell r="AN241">
            <v>-2.0331600000000001</v>
          </cell>
          <cell r="AO241">
            <v>0.11962374397984331</v>
          </cell>
          <cell r="AP241">
            <v>61.2</v>
          </cell>
          <cell r="AQ241">
            <v>61.2</v>
          </cell>
          <cell r="AR241">
            <v>1.4033338575046708</v>
          </cell>
          <cell r="AS241" t="str">
            <v/>
          </cell>
          <cell r="AT241">
            <v>0</v>
          </cell>
          <cell r="AU241" t="str">
            <v/>
          </cell>
          <cell r="AV241">
            <v>1</v>
          </cell>
          <cell r="AW241" t="str">
            <v>PROBLEM FRAC possible? KH prefrac Estimate is at least 50% higher than for a perfect frac</v>
          </cell>
          <cell r="AY241">
            <v>61.2</v>
          </cell>
        </row>
        <row r="242">
          <cell r="C242" t="str">
            <v>Ust-Balik!1184</v>
          </cell>
          <cell r="E242" t="str">
            <v>1184</v>
          </cell>
          <cell r="F242">
            <v>2331.3000000000002</v>
          </cell>
          <cell r="G242">
            <v>36796</v>
          </cell>
          <cell r="H242">
            <v>219</v>
          </cell>
          <cell r="I242">
            <v>90</v>
          </cell>
          <cell r="J242">
            <v>50.4</v>
          </cell>
          <cell r="K242">
            <v>70</v>
          </cell>
          <cell r="L242">
            <v>20</v>
          </cell>
          <cell r="M242">
            <v>80</v>
          </cell>
          <cell r="N242">
            <v>1173</v>
          </cell>
          <cell r="O242">
            <v>117.24700000000001</v>
          </cell>
          <cell r="P242">
            <v>0</v>
          </cell>
          <cell r="R242">
            <v>0.68794040470551243</v>
          </cell>
          <cell r="S242">
            <v>0.68794040470551243</v>
          </cell>
          <cell r="T242">
            <v>161.17921114433213</v>
          </cell>
          <cell r="U242" t="str">
            <v>Old</v>
          </cell>
          <cell r="X242">
            <v>29.67</v>
          </cell>
          <cell r="Y242">
            <v>2.0363000000000002</v>
          </cell>
          <cell r="Z242">
            <v>-4.6841613791154426</v>
          </cell>
          <cell r="AA242">
            <v>-4.6701499999999996</v>
          </cell>
          <cell r="AB242">
            <v>-4.6733861110059145</v>
          </cell>
          <cell r="AC242" t="str">
            <v>BS-10,99</v>
          </cell>
          <cell r="AE242">
            <v>24.5</v>
          </cell>
          <cell r="AF242" t="str">
            <v>16/20</v>
          </cell>
          <cell r="AG242">
            <v>20.6</v>
          </cell>
          <cell r="AH242">
            <v>53.8</v>
          </cell>
          <cell r="AI242">
            <v>420</v>
          </cell>
          <cell r="AJ242">
            <v>2523.0047029396119</v>
          </cell>
          <cell r="AK242">
            <v>1</v>
          </cell>
          <cell r="AL242" t="str">
            <v>1:-4.67015!162.12408</v>
          </cell>
          <cell r="AM242">
            <v>1</v>
          </cell>
          <cell r="AN242">
            <v>-4.6701499999999996</v>
          </cell>
          <cell r="AO242">
            <v>5.958754324685227</v>
          </cell>
          <cell r="AP242">
            <v>162.12407999999999</v>
          </cell>
          <cell r="AQ242">
            <v>161.17921114433213</v>
          </cell>
          <cell r="AR242">
            <v>2.9599931238684398</v>
          </cell>
          <cell r="AS242">
            <v>4.1469651773107685E-2</v>
          </cell>
          <cell r="AT242">
            <v>0</v>
          </cell>
          <cell r="AU242" t="str">
            <v/>
          </cell>
          <cell r="AV242">
            <v>0</v>
          </cell>
          <cell r="AW242" t="str">
            <v>Proppant Pack damage=100%</v>
          </cell>
          <cell r="AY242">
            <v>162.12407999999999</v>
          </cell>
        </row>
        <row r="243">
          <cell r="C243" t="str">
            <v>Ust-Balik!1304</v>
          </cell>
          <cell r="E243" t="str">
            <v>1304</v>
          </cell>
          <cell r="F243">
            <v>2397.25</v>
          </cell>
          <cell r="G243">
            <v>36810</v>
          </cell>
          <cell r="H243">
            <v>230</v>
          </cell>
          <cell r="I243">
            <v>90</v>
          </cell>
          <cell r="J243">
            <v>6.3</v>
          </cell>
          <cell r="K243">
            <v>10</v>
          </cell>
          <cell r="L243">
            <v>30</v>
          </cell>
          <cell r="M243">
            <v>70</v>
          </cell>
          <cell r="N243">
            <v>122</v>
          </cell>
          <cell r="O243">
            <v>217.77249999999998</v>
          </cell>
          <cell r="P243">
            <v>0</v>
          </cell>
          <cell r="R243">
            <v>0.81782866489470318</v>
          </cell>
          <cell r="S243">
            <v>0.81782866489470318</v>
          </cell>
          <cell r="T243">
            <v>191.61104385979144</v>
          </cell>
          <cell r="U243" t="str">
            <v>Old</v>
          </cell>
          <cell r="X243">
            <v>76</v>
          </cell>
          <cell r="Y243">
            <v>0.45</v>
          </cell>
          <cell r="Z243">
            <v>5.7823042212821596</v>
          </cell>
          <cell r="AA243">
            <v>0</v>
          </cell>
          <cell r="AB243">
            <v>-5.209076666874199</v>
          </cell>
          <cell r="AC243" t="str">
            <v>BS-10,100</v>
          </cell>
          <cell r="AE243">
            <v>32.320999999999998</v>
          </cell>
          <cell r="AF243" t="str">
            <v>16/30</v>
          </cell>
          <cell r="AG243">
            <v>6</v>
          </cell>
          <cell r="AH243">
            <v>82.6</v>
          </cell>
          <cell r="AI243">
            <v>420</v>
          </cell>
          <cell r="AJ243">
            <v>7443.1190125276353</v>
          </cell>
          <cell r="AK243">
            <v>1</v>
          </cell>
          <cell r="AL243" t="str">
            <v>0.00000:0.00000!191.61104</v>
          </cell>
          <cell r="AM243">
            <v>0</v>
          </cell>
          <cell r="AN243">
            <v>0</v>
          </cell>
          <cell r="AO243">
            <v>0</v>
          </cell>
          <cell r="AP243">
            <v>191.61104</v>
          </cell>
          <cell r="AQ243">
            <v>191.61104385979144</v>
          </cell>
          <cell r="AR243">
            <v>1</v>
          </cell>
          <cell r="AS243" t="str">
            <v/>
          </cell>
          <cell r="AT243">
            <v>0</v>
          </cell>
          <cell r="AU243" t="str">
            <v/>
          </cell>
          <cell r="AV243">
            <v>0</v>
          </cell>
          <cell r="AW243" t="str">
            <v>Proppant Pack damage=0%</v>
          </cell>
          <cell r="AY243">
            <v>191.61104385979144</v>
          </cell>
        </row>
        <row r="244">
          <cell r="C244" t="str">
            <v>Ust-Balik!1308</v>
          </cell>
          <cell r="E244" t="str">
            <v>1308</v>
          </cell>
          <cell r="F244">
            <v>2304.1999999999998</v>
          </cell>
          <cell r="G244">
            <v>36586</v>
          </cell>
          <cell r="H244">
            <v>247.97550960000001</v>
          </cell>
          <cell r="I244">
            <v>90</v>
          </cell>
          <cell r="J244">
            <v>5.0652000000000008</v>
          </cell>
          <cell r="K244">
            <v>6.7</v>
          </cell>
          <cell r="L244">
            <v>16</v>
          </cell>
          <cell r="M244">
            <v>84</v>
          </cell>
          <cell r="N244">
            <v>480</v>
          </cell>
          <cell r="O244">
            <v>177.17799999999997</v>
          </cell>
          <cell r="P244">
            <v>0</v>
          </cell>
          <cell r="R244">
            <v>9.4636097199667549E-2</v>
          </cell>
          <cell r="S244">
            <v>9.4636097199667549E-2</v>
          </cell>
          <cell r="T244">
            <v>22.172518706689839</v>
          </cell>
          <cell r="U244" t="str">
            <v>Old</v>
          </cell>
          <cell r="X244">
            <v>40</v>
          </cell>
          <cell r="Y244">
            <v>0.63239999999999996</v>
          </cell>
          <cell r="Z244">
            <v>-6.0154436928956398</v>
          </cell>
          <cell r="AA244">
            <v>-5.0855800000000002</v>
          </cell>
          <cell r="AB244">
            <v>-5.0199608708472843</v>
          </cell>
          <cell r="AC244" t="str">
            <v>BS-10,100</v>
          </cell>
          <cell r="AE244">
            <v>38.405999999999999</v>
          </cell>
          <cell r="AF244" t="str">
            <v>16/30</v>
          </cell>
          <cell r="AG244">
            <v>18.3</v>
          </cell>
          <cell r="AH244">
            <v>69.2</v>
          </cell>
          <cell r="AI244">
            <v>420</v>
          </cell>
          <cell r="AJ244">
            <v>3461.3328581610826</v>
          </cell>
          <cell r="AK244">
            <v>1</v>
          </cell>
          <cell r="AL244" t="str">
            <v>1:-5.08558!30.30816</v>
          </cell>
          <cell r="AM244">
            <v>1</v>
          </cell>
          <cell r="AN244">
            <v>-5.0855800000000002</v>
          </cell>
          <cell r="AO244">
            <v>30.20151917821325</v>
          </cell>
          <cell r="AP244">
            <v>30.308160000000001</v>
          </cell>
          <cell r="AQ244">
            <v>22.172518706689839</v>
          </cell>
          <cell r="AR244">
            <v>4.8628878027895679</v>
          </cell>
          <cell r="AS244">
            <v>2.5956410995983985</v>
          </cell>
          <cell r="AT244">
            <v>0</v>
          </cell>
          <cell r="AU244" t="str">
            <v/>
          </cell>
          <cell r="AV244">
            <v>0</v>
          </cell>
          <cell r="AW244" t="str">
            <v>Slight DAMMAGED formation S =2.6</v>
          </cell>
          <cell r="AY244">
            <v>30.308160000000001</v>
          </cell>
        </row>
        <row r="245">
          <cell r="C245" t="str">
            <v>Ust-Balik!1336</v>
          </cell>
          <cell r="E245" t="str">
            <v>1336</v>
          </cell>
          <cell r="F245">
            <v>2291.25</v>
          </cell>
          <cell r="G245">
            <v>36829</v>
          </cell>
          <cell r="H245">
            <v>258</v>
          </cell>
          <cell r="I245">
            <v>90</v>
          </cell>
          <cell r="J245">
            <v>4.6440000000000001</v>
          </cell>
          <cell r="K245">
            <v>6</v>
          </cell>
          <cell r="L245">
            <v>14</v>
          </cell>
          <cell r="M245">
            <v>86</v>
          </cell>
          <cell r="N245">
            <v>975</v>
          </cell>
          <cell r="O245">
            <v>131.46249999999998</v>
          </cell>
          <cell r="P245">
            <v>0</v>
          </cell>
          <cell r="R245">
            <v>4.74167736836906E-2</v>
          </cell>
          <cell r="S245">
            <v>4.74167736836906E-2</v>
          </cell>
          <cell r="T245">
            <v>11.109389890564946</v>
          </cell>
          <cell r="U245" t="str">
            <v>Old</v>
          </cell>
          <cell r="X245">
            <v>57</v>
          </cell>
          <cell r="Y245">
            <v>0.99</v>
          </cell>
          <cell r="Z245">
            <v>-6.7352294060837794</v>
          </cell>
          <cell r="AA245">
            <v>-3.8614299999999999</v>
          </cell>
          <cell r="AB245">
            <v>-3.8816123524138337</v>
          </cell>
          <cell r="AC245" t="str">
            <v>BS-10,100</v>
          </cell>
          <cell r="AE245">
            <v>17.84</v>
          </cell>
          <cell r="AF245" t="str">
            <v>16/20</v>
          </cell>
          <cell r="AG245">
            <v>9.1999999999999993</v>
          </cell>
          <cell r="AH245">
            <v>19.5</v>
          </cell>
          <cell r="AI245">
            <v>420</v>
          </cell>
          <cell r="AJ245">
            <v>11349.425621637343</v>
          </cell>
          <cell r="AK245">
            <v>1</v>
          </cell>
          <cell r="AL245" t="str">
            <v>1:-3.86143!105.33768</v>
          </cell>
          <cell r="AM245">
            <v>1</v>
          </cell>
          <cell r="AN245">
            <v>-3.8614299999999999</v>
          </cell>
          <cell r="AO245">
            <v>50.832720125465286</v>
          </cell>
          <cell r="AP245">
            <v>105.33768000000001</v>
          </cell>
          <cell r="AQ245">
            <v>11.109389890564946</v>
          </cell>
          <cell r="AR245">
            <v>20.878658986591176</v>
          </cell>
          <cell r="AS245">
            <v>60.001068134675123</v>
          </cell>
          <cell r="AT245">
            <v>0</v>
          </cell>
          <cell r="AU245" t="str">
            <v/>
          </cell>
          <cell r="AV245">
            <v>0</v>
          </cell>
          <cell r="AW245" t="str">
            <v>DAMMAGED formation S =60.0</v>
          </cell>
          <cell r="AY245">
            <v>105.33768000000001</v>
          </cell>
        </row>
        <row r="246">
          <cell r="C246" t="str">
            <v>Ust-Balik!1369</v>
          </cell>
          <cell r="E246" t="str">
            <v>1369</v>
          </cell>
          <cell r="F246">
            <v>2354.4</v>
          </cell>
          <cell r="G246">
            <v>36752</v>
          </cell>
          <cell r="H246">
            <v>235</v>
          </cell>
          <cell r="I246">
            <v>90</v>
          </cell>
          <cell r="J246">
            <v>8.9640000000000004</v>
          </cell>
          <cell r="K246">
            <v>12</v>
          </cell>
          <cell r="L246">
            <v>17</v>
          </cell>
          <cell r="M246">
            <v>83</v>
          </cell>
          <cell r="N246">
            <v>892</v>
          </cell>
          <cell r="O246">
            <v>144.61600000000001</v>
          </cell>
          <cell r="P246">
            <v>0</v>
          </cell>
          <cell r="R246">
            <v>0.13276686139139673</v>
          </cell>
          <cell r="S246">
            <v>0.13276686139139673</v>
          </cell>
          <cell r="T246">
            <v>31.106267110934734</v>
          </cell>
          <cell r="U246" t="str">
            <v>Old</v>
          </cell>
          <cell r="X246">
            <v>64</v>
          </cell>
          <cell r="Y246">
            <v>0.84</v>
          </cell>
          <cell r="Z246">
            <v>-5.9559520987137677</v>
          </cell>
          <cell r="AA246">
            <v>-4.8845099999999997</v>
          </cell>
          <cell r="AB246">
            <v>-4.8646191007721029</v>
          </cell>
          <cell r="AC246" t="str">
            <v>BS-10,100</v>
          </cell>
          <cell r="AE246">
            <v>28.065000000000001</v>
          </cell>
          <cell r="AF246" t="str">
            <v>16/30</v>
          </cell>
          <cell r="AG246">
            <v>12.9</v>
          </cell>
          <cell r="AH246">
            <v>58.8</v>
          </cell>
          <cell r="AI246">
            <v>420</v>
          </cell>
          <cell r="AJ246">
            <v>4222.7899754441714</v>
          </cell>
          <cell r="AK246">
            <v>1</v>
          </cell>
          <cell r="AL246" t="str">
            <v>1:-4.88451!60.91473</v>
          </cell>
          <cell r="AM246">
            <v>1</v>
          </cell>
          <cell r="AN246">
            <v>-4.8845099999999997</v>
          </cell>
          <cell r="AO246">
            <v>15.208610675613253</v>
          </cell>
          <cell r="AP246">
            <v>60.914729999999999</v>
          </cell>
          <cell r="AQ246">
            <v>31.106267110934734</v>
          </cell>
          <cell r="AR246">
            <v>6.3268889894018407</v>
          </cell>
          <cell r="AS246">
            <v>6.7789052681292139</v>
          </cell>
          <cell r="AT246">
            <v>0</v>
          </cell>
          <cell r="AU246" t="str">
            <v/>
          </cell>
          <cell r="AV246">
            <v>0</v>
          </cell>
          <cell r="AW246" t="str">
            <v>DAMMAGED formation S =6.8</v>
          </cell>
          <cell r="AY246">
            <v>60.914729999999999</v>
          </cell>
        </row>
        <row r="247">
          <cell r="C247" t="str">
            <v>Ust-Balik!1376</v>
          </cell>
          <cell r="E247" t="str">
            <v>1376</v>
          </cell>
          <cell r="F247">
            <v>2362.1999999999998</v>
          </cell>
          <cell r="G247">
            <v>36640</v>
          </cell>
          <cell r="H247">
            <v>268.64523400000002</v>
          </cell>
          <cell r="I247">
            <v>90</v>
          </cell>
          <cell r="J247" t="str">
            <v/>
          </cell>
          <cell r="K247" t="str">
            <v/>
          </cell>
          <cell r="L247" t="str">
            <v/>
          </cell>
          <cell r="M247" t="str">
            <v/>
          </cell>
          <cell r="N247" t="str">
            <v/>
          </cell>
          <cell r="O247" t="str">
            <v/>
          </cell>
          <cell r="P247">
            <v>0</v>
          </cell>
          <cell r="Q247">
            <v>0.26112669035335007</v>
          </cell>
          <cell r="R247" t="str">
            <v/>
          </cell>
          <cell r="S247">
            <v>0.26112669035335007</v>
          </cell>
          <cell r="T247">
            <v>61.179999999999993</v>
          </cell>
          <cell r="U247" t="str">
            <v>Old</v>
          </cell>
          <cell r="X247">
            <v>27.5</v>
          </cell>
          <cell r="Y247">
            <v>0.88170000000000004</v>
          </cell>
          <cell r="Z247">
            <v>-4.9789771413743562</v>
          </cell>
          <cell r="AA247">
            <v>-4.82782</v>
          </cell>
          <cell r="AB247">
            <v>-4.7475918488777502</v>
          </cell>
          <cell r="AC247" t="str">
            <v>BS-10,73</v>
          </cell>
          <cell r="AE247">
            <v>27.241</v>
          </cell>
          <cell r="AF247" t="str">
            <v>16/30</v>
          </cell>
          <cell r="AG247">
            <v>16.100000000000001</v>
          </cell>
          <cell r="AH247">
            <v>54.3</v>
          </cell>
          <cell r="AI247">
            <v>420</v>
          </cell>
          <cell r="AJ247">
            <v>3556.3034600883557</v>
          </cell>
          <cell r="AK247">
            <v>1</v>
          </cell>
          <cell r="AL247" t="str">
            <v>1:-4.82782!53.63381</v>
          </cell>
          <cell r="AM247">
            <v>1</v>
          </cell>
          <cell r="AN247">
            <v>-4.82782</v>
          </cell>
          <cell r="AO247">
            <v>19.660122049824544</v>
          </cell>
          <cell r="AP247">
            <v>53.633809999999997</v>
          </cell>
          <cell r="AQ247">
            <v>61.179999999999993</v>
          </cell>
          <cell r="AR247">
            <v>2.7608550421744513</v>
          </cell>
          <cell r="AS247" t="str">
            <v/>
          </cell>
          <cell r="AT247">
            <v>0</v>
          </cell>
          <cell r="AU247" t="str">
            <v/>
          </cell>
          <cell r="AV247">
            <v>0</v>
          </cell>
          <cell r="AW247" t="str">
            <v>Prefrac  kh estimate acceptable</v>
          </cell>
          <cell r="AY247">
            <v>61.179999999999993</v>
          </cell>
        </row>
        <row r="248">
          <cell r="C248" t="str">
            <v>Ust-Balik!1384</v>
          </cell>
          <cell r="E248" t="str">
            <v>1384</v>
          </cell>
          <cell r="F248">
            <v>2429.6</v>
          </cell>
          <cell r="G248">
            <v>36833</v>
          </cell>
          <cell r="H248">
            <v>230</v>
          </cell>
          <cell r="I248">
            <v>90</v>
          </cell>
          <cell r="J248">
            <v>5.4809999999999999</v>
          </cell>
          <cell r="K248">
            <v>7</v>
          </cell>
          <cell r="L248">
            <v>13</v>
          </cell>
          <cell r="M248">
            <v>87</v>
          </cell>
          <cell r="N248">
            <v>525</v>
          </cell>
          <cell r="O248">
            <v>184.41399999999999</v>
          </cell>
          <cell r="P248">
            <v>0</v>
          </cell>
          <cell r="R248">
            <v>0.15355591629008902</v>
          </cell>
          <cell r="S248">
            <v>0.15355591629008902</v>
          </cell>
          <cell r="T248">
            <v>35.976984757533501</v>
          </cell>
          <cell r="U248" t="str">
            <v>Old</v>
          </cell>
          <cell r="X248">
            <v>53</v>
          </cell>
          <cell r="Y248">
            <v>1.34</v>
          </cell>
          <cell r="Z248">
            <v>-6.2634030130389133</v>
          </cell>
          <cell r="AA248">
            <v>-4.6922100000000002</v>
          </cell>
          <cell r="AB248">
            <v>-4.7120610613224656</v>
          </cell>
          <cell r="AC248" t="str">
            <v>BS-10,54</v>
          </cell>
          <cell r="AE248">
            <v>14.776999999999999</v>
          </cell>
          <cell r="AF248" t="str">
            <v>16/30</v>
          </cell>
          <cell r="AG248">
            <v>9.9</v>
          </cell>
          <cell r="AH248">
            <v>58.2</v>
          </cell>
          <cell r="AI248">
            <v>420</v>
          </cell>
          <cell r="AJ248">
            <v>2927.0461223621232</v>
          </cell>
          <cell r="AK248">
            <v>1</v>
          </cell>
          <cell r="AL248" t="str">
            <v>1:-4.69221!105.70778</v>
          </cell>
          <cell r="AM248">
            <v>1</v>
          </cell>
          <cell r="AN248">
            <v>-4.6922100000000002</v>
          </cell>
          <cell r="AO248">
            <v>4.7101509286616672</v>
          </cell>
          <cell r="AP248">
            <v>105.70778</v>
          </cell>
          <cell r="AQ248">
            <v>35.976984757533501</v>
          </cell>
          <cell r="AR248">
            <v>8.7264622272153574</v>
          </cell>
          <cell r="AS248">
            <v>13.710955969302443</v>
          </cell>
          <cell r="AT248">
            <v>0</v>
          </cell>
          <cell r="AU248" t="str">
            <v/>
          </cell>
          <cell r="AV248">
            <v>0</v>
          </cell>
          <cell r="AW248" t="str">
            <v>DAMMAGED formation S =13.7</v>
          </cell>
          <cell r="AY248">
            <v>105.70778</v>
          </cell>
        </row>
        <row r="249">
          <cell r="C249" t="str">
            <v>Ust-Balik!3000</v>
          </cell>
          <cell r="E249" t="str">
            <v>3000</v>
          </cell>
          <cell r="F249">
            <v>2402.3000000000002</v>
          </cell>
          <cell r="G249">
            <v>36803</v>
          </cell>
          <cell r="H249">
            <v>217</v>
          </cell>
          <cell r="I249">
            <v>90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 t="str">
            <v/>
          </cell>
          <cell r="O249" t="str">
            <v/>
          </cell>
          <cell r="P249">
            <v>0</v>
          </cell>
          <cell r="Q249">
            <v>0.13828873434861955</v>
          </cell>
          <cell r="R249" t="str">
            <v/>
          </cell>
          <cell r="S249">
            <v>0.13828873434861955</v>
          </cell>
          <cell r="T249">
            <v>32.400000000000006</v>
          </cell>
          <cell r="U249" t="str">
            <v>Old</v>
          </cell>
          <cell r="X249">
            <v>26</v>
          </cell>
          <cell r="Y249">
            <v>0.42520000000000002</v>
          </cell>
          <cell r="Z249">
            <v>-4.7733384154536163</v>
          </cell>
          <cell r="AA249">
            <v>-4.2974199999999998</v>
          </cell>
          <cell r="AB249">
            <v>-5.2370989852615333</v>
          </cell>
          <cell r="AC249" t="str">
            <v>BS-10,100</v>
          </cell>
          <cell r="AE249">
            <v>33</v>
          </cell>
          <cell r="AF249" t="str">
            <v>16/20</v>
          </cell>
          <cell r="AG249">
            <v>10.8</v>
          </cell>
          <cell r="AH249">
            <v>85.8</v>
          </cell>
          <cell r="AI249">
            <v>420</v>
          </cell>
          <cell r="AJ249">
            <v>4064.4741731698259</v>
          </cell>
          <cell r="AK249">
            <v>1</v>
          </cell>
          <cell r="AL249" t="str">
            <v>0.05426:-4.29742!32.40000</v>
          </cell>
          <cell r="AM249">
            <v>5.4260000000000003E-2</v>
          </cell>
          <cell r="AN249">
            <v>-4.2974199999999998</v>
          </cell>
          <cell r="AO249">
            <v>0.85679241894403568</v>
          </cell>
          <cell r="AP249">
            <v>32.4</v>
          </cell>
          <cell r="AQ249">
            <v>32.400000000000006</v>
          </cell>
          <cell r="AR249">
            <v>2.5477129376435923</v>
          </cell>
          <cell r="AS249" t="str">
            <v/>
          </cell>
          <cell r="AT249">
            <v>0</v>
          </cell>
          <cell r="AU249" t="str">
            <v/>
          </cell>
          <cell r="AV249">
            <v>1</v>
          </cell>
          <cell r="AW249" t="str">
            <v>PROBLEM FRAC possible? KH prefrac Estimate is at least 50% higher than for a perfect frac</v>
          </cell>
          <cell r="AY249">
            <v>32.400000000000006</v>
          </cell>
        </row>
        <row r="250">
          <cell r="C250" t="str">
            <v>Ust-Balik!3013</v>
          </cell>
          <cell r="E250" t="str">
            <v>3013</v>
          </cell>
          <cell r="F250">
            <v>2386.6999999999998</v>
          </cell>
          <cell r="G250">
            <v>36859</v>
          </cell>
          <cell r="H250">
            <v>237</v>
          </cell>
          <cell r="I250">
            <v>90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 t="str">
            <v/>
          </cell>
          <cell r="O250" t="str">
            <v/>
          </cell>
          <cell r="P250">
            <v>0</v>
          </cell>
          <cell r="Q250">
            <v>0.47632786275635619</v>
          </cell>
          <cell r="R250" t="str">
            <v/>
          </cell>
          <cell r="S250">
            <v>0.47632786275635619</v>
          </cell>
          <cell r="T250">
            <v>111.60000000000001</v>
          </cell>
          <cell r="U250" t="str">
            <v>Old</v>
          </cell>
          <cell r="X250">
            <v>23.5</v>
          </cell>
          <cell r="Y250">
            <v>1.117</v>
          </cell>
          <cell r="Z250">
            <v>-4.0574254044182396</v>
          </cell>
          <cell r="AA250">
            <v>-4.6742499999999998</v>
          </cell>
          <cell r="AB250">
            <v>-4.580534459458141</v>
          </cell>
          <cell r="AC250" t="str">
            <v>BS-10,100</v>
          </cell>
          <cell r="AE250">
            <v>37.93</v>
          </cell>
          <cell r="AF250" t="str">
            <v>16/30</v>
          </cell>
          <cell r="AG250">
            <v>37.200000000000003</v>
          </cell>
          <cell r="AH250">
            <v>45.1</v>
          </cell>
          <cell r="AI250">
            <v>420</v>
          </cell>
          <cell r="AJ250">
            <v>3839.4389279861175</v>
          </cell>
          <cell r="AK250">
            <v>1</v>
          </cell>
          <cell r="AL250" t="str">
            <v>1:-4.67425!66.85735</v>
          </cell>
          <cell r="AM250">
            <v>1</v>
          </cell>
          <cell r="AN250">
            <v>-4.6742499999999998</v>
          </cell>
          <cell r="AO250">
            <v>47.367995111411716</v>
          </cell>
          <cell r="AP250">
            <v>66.857349999999997</v>
          </cell>
          <cell r="AQ250">
            <v>111.60000000000001</v>
          </cell>
          <cell r="AR250">
            <v>1.7659504639299806</v>
          </cell>
          <cell r="AS250" t="str">
            <v/>
          </cell>
          <cell r="AT250">
            <v>0</v>
          </cell>
          <cell r="AU250" t="str">
            <v/>
          </cell>
          <cell r="AV250">
            <v>0</v>
          </cell>
          <cell r="AW250" t="str">
            <v>Prefrac  kh estimate acceptable</v>
          </cell>
          <cell r="AY250">
            <v>111.60000000000001</v>
          </cell>
        </row>
        <row r="251">
          <cell r="C251" t="str">
            <v>Ust-Balik!3016</v>
          </cell>
          <cell r="E251" t="str">
            <v>3016</v>
          </cell>
          <cell r="F251">
            <v>2389.1999999999998</v>
          </cell>
          <cell r="G251">
            <v>36560</v>
          </cell>
          <cell r="H251">
            <v>257.27535599999999</v>
          </cell>
          <cell r="I251">
            <v>90</v>
          </cell>
          <cell r="J251">
            <v>12.96</v>
          </cell>
          <cell r="K251">
            <v>16</v>
          </cell>
          <cell r="L251">
            <v>10</v>
          </cell>
          <cell r="M251">
            <v>90</v>
          </cell>
          <cell r="N251">
            <v>750</v>
          </cell>
          <cell r="O251">
            <v>160.52799999999999</v>
          </cell>
          <cell r="P251">
            <v>0</v>
          </cell>
          <cell r="R251">
            <v>0.16537919651261582</v>
          </cell>
          <cell r="S251">
            <v>0.16537919651261582</v>
          </cell>
          <cell r="T251">
            <v>38.747089502610969</v>
          </cell>
          <cell r="U251" t="str">
            <v>Old</v>
          </cell>
          <cell r="X251">
            <v>66</v>
          </cell>
          <cell r="Y251">
            <v>0.38150000000000001</v>
          </cell>
          <cell r="Z251">
            <v>-4.0074665996670689</v>
          </cell>
          <cell r="AA251">
            <v>-4.00725</v>
          </cell>
          <cell r="AB251">
            <v>-4.8540044629025605</v>
          </cell>
          <cell r="AC251" t="str">
            <v>BS-10,97</v>
          </cell>
          <cell r="AE251">
            <v>29.9</v>
          </cell>
          <cell r="AF251" t="str">
            <v>16/30</v>
          </cell>
          <cell r="AG251">
            <v>11.3</v>
          </cell>
          <cell r="AH251">
            <v>55.7</v>
          </cell>
          <cell r="AI251">
            <v>420</v>
          </cell>
          <cell r="AJ251">
            <v>5421.7441731145036</v>
          </cell>
          <cell r="AK251">
            <v>1</v>
          </cell>
          <cell r="AL251" t="str">
            <v>0.03674:-4.00725!38.74709</v>
          </cell>
          <cell r="AM251">
            <v>3.6740000000000002E-2</v>
          </cell>
          <cell r="AN251">
            <v>-4.00725</v>
          </cell>
          <cell r="AO251">
            <v>1.0429472184325512</v>
          </cell>
          <cell r="AP251">
            <v>38.74709</v>
          </cell>
          <cell r="AQ251">
            <v>38.747089502610969</v>
          </cell>
          <cell r="AR251">
            <v>2.3066568450638885</v>
          </cell>
          <cell r="AS251">
            <v>9.0808185859714285E-8</v>
          </cell>
          <cell r="AT251">
            <v>0</v>
          </cell>
          <cell r="AU251" t="str">
            <v/>
          </cell>
          <cell r="AV251">
            <v>0</v>
          </cell>
          <cell r="AW251" t="str">
            <v>Proppant Pack damage=4%</v>
          </cell>
          <cell r="AY251">
            <v>38.74709</v>
          </cell>
        </row>
        <row r="252">
          <cell r="C252" t="str">
            <v>Ust-Balik!3042</v>
          </cell>
          <cell r="E252" t="str">
            <v>3042</v>
          </cell>
          <cell r="F252">
            <v>2353.9</v>
          </cell>
          <cell r="G252">
            <v>36838</v>
          </cell>
          <cell r="H252">
            <v>251</v>
          </cell>
          <cell r="I252">
            <v>90</v>
          </cell>
          <cell r="J252" t="str">
            <v/>
          </cell>
          <cell r="K252" t="str">
            <v/>
          </cell>
          <cell r="L252" t="str">
            <v/>
          </cell>
          <cell r="M252" t="str">
            <v/>
          </cell>
          <cell r="N252" t="str">
            <v/>
          </cell>
          <cell r="O252" t="str">
            <v/>
          </cell>
          <cell r="P252">
            <v>0</v>
          </cell>
          <cell r="Q252">
            <v>0.26377295625755209</v>
          </cell>
          <cell r="R252" t="str">
            <v/>
          </cell>
          <cell r="S252">
            <v>0.26377295625755209</v>
          </cell>
          <cell r="T252">
            <v>61.800000000000004</v>
          </cell>
          <cell r="U252" t="str">
            <v>Old</v>
          </cell>
          <cell r="X252">
            <v>34</v>
          </cell>
          <cell r="Y252">
            <v>0.77200000000000002</v>
          </cell>
          <cell r="Z252">
            <v>-4.6570226572481221</v>
          </cell>
          <cell r="AA252">
            <v>-4.9579700000000004</v>
          </cell>
          <cell r="AB252">
            <v>-4.8707701903758451</v>
          </cell>
          <cell r="AC252" t="str">
            <v>BS-10,99</v>
          </cell>
          <cell r="AE252">
            <v>39.186</v>
          </cell>
          <cell r="AF252" t="str">
            <v>16/30</v>
          </cell>
          <cell r="AG252">
            <v>20.6</v>
          </cell>
          <cell r="AH252">
            <v>60.5</v>
          </cell>
          <cell r="AI252">
            <v>420</v>
          </cell>
          <cell r="AJ252">
            <v>3588.4740571221246</v>
          </cell>
          <cell r="AK252">
            <v>1</v>
          </cell>
          <cell r="AL252" t="str">
            <v>1:-4.95797!39.97440</v>
          </cell>
          <cell r="AM252">
            <v>1</v>
          </cell>
          <cell r="AN252">
            <v>-4.9579700000000004</v>
          </cell>
          <cell r="AO252">
            <v>30.56607699039607</v>
          </cell>
          <cell r="AP252">
            <v>39.974400000000003</v>
          </cell>
          <cell r="AQ252">
            <v>61.800000000000004</v>
          </cell>
          <cell r="AR252">
            <v>2.1623704368636165</v>
          </cell>
          <cell r="AS252" t="str">
            <v/>
          </cell>
          <cell r="AT252">
            <v>0</v>
          </cell>
          <cell r="AU252" t="str">
            <v/>
          </cell>
          <cell r="AV252">
            <v>0</v>
          </cell>
          <cell r="AW252" t="str">
            <v>Prefrac  kh estimate acceptable</v>
          </cell>
          <cell r="AY252">
            <v>61.800000000000004</v>
          </cell>
        </row>
        <row r="253">
          <cell r="C253" t="str">
            <v>Ust-Balik!3044</v>
          </cell>
          <cell r="E253" t="str">
            <v>3044</v>
          </cell>
          <cell r="F253">
            <v>2357.1</v>
          </cell>
          <cell r="G253">
            <v>36766</v>
          </cell>
          <cell r="H253">
            <v>233</v>
          </cell>
          <cell r="I253">
            <v>90</v>
          </cell>
          <cell r="J253">
            <v>20.25</v>
          </cell>
          <cell r="K253">
            <v>30</v>
          </cell>
          <cell r="L253">
            <v>25</v>
          </cell>
          <cell r="M253">
            <v>75</v>
          </cell>
          <cell r="N253">
            <v>1441</v>
          </cell>
          <cell r="O253">
            <v>95.448999999999984</v>
          </cell>
          <cell r="P253">
            <v>0</v>
          </cell>
          <cell r="R253">
            <v>0.21810092256690244</v>
          </cell>
          <cell r="S253">
            <v>0.21810092256690244</v>
          </cell>
          <cell r="T253">
            <v>51.09938943654943</v>
          </cell>
          <cell r="U253" t="str">
            <v>Old</v>
          </cell>
          <cell r="X253">
            <v>29</v>
          </cell>
          <cell r="Y253">
            <v>0.57899999999999996</v>
          </cell>
          <cell r="Z253">
            <v>-4.4093552314979618</v>
          </cell>
          <cell r="AA253">
            <v>-3.9914000000000001</v>
          </cell>
          <cell r="AB253">
            <v>-4.9035748287232988</v>
          </cell>
          <cell r="AC253" t="str">
            <v>BS-10,100</v>
          </cell>
          <cell r="AE253">
            <v>29.5</v>
          </cell>
          <cell r="AF253" t="str">
            <v>16/30</v>
          </cell>
          <cell r="AG253">
            <v>16.3</v>
          </cell>
          <cell r="AH253">
            <v>64.099999999999994</v>
          </cell>
          <cell r="AI253">
            <v>420</v>
          </cell>
          <cell r="AJ253">
            <v>3222.3881646650234</v>
          </cell>
          <cell r="AK253">
            <v>1</v>
          </cell>
          <cell r="AL253" t="str">
            <v>0.05157:-3.99140!51.09939</v>
          </cell>
          <cell r="AM253">
            <v>5.1569999999999998E-2</v>
          </cell>
          <cell r="AN253">
            <v>-3.9914000000000001</v>
          </cell>
          <cell r="AO253">
            <v>0.82696826601356932</v>
          </cell>
          <cell r="AP253">
            <v>51.09939</v>
          </cell>
          <cell r="AQ253">
            <v>51.09938943654943</v>
          </cell>
          <cell r="AR253">
            <v>2.2947967382382894</v>
          </cell>
          <cell r="AS253">
            <v>7.8002404535482128E-8</v>
          </cell>
          <cell r="AT253">
            <v>0</v>
          </cell>
          <cell r="AU253" t="str">
            <v/>
          </cell>
          <cell r="AV253">
            <v>0</v>
          </cell>
          <cell r="AW253" t="str">
            <v>Proppant Pack damage=5%</v>
          </cell>
          <cell r="AY253">
            <v>51.09939</v>
          </cell>
        </row>
        <row r="254">
          <cell r="C254" t="str">
            <v>Ust-Balik!3052</v>
          </cell>
          <cell r="E254" t="str">
            <v>3052</v>
          </cell>
          <cell r="F254">
            <v>2325.5</v>
          </cell>
          <cell r="G254">
            <v>36799</v>
          </cell>
          <cell r="H254">
            <v>225</v>
          </cell>
          <cell r="I254">
            <v>90</v>
          </cell>
          <cell r="J254">
            <v>7.38</v>
          </cell>
          <cell r="K254">
            <v>10</v>
          </cell>
          <cell r="L254">
            <v>18</v>
          </cell>
          <cell r="M254">
            <v>82</v>
          </cell>
          <cell r="N254">
            <v>209</v>
          </cell>
          <cell r="O254">
            <v>203.48499999999999</v>
          </cell>
          <cell r="P254">
            <v>0</v>
          </cell>
          <cell r="R254">
            <v>0.46479200557750378</v>
          </cell>
          <cell r="S254">
            <v>0.46479200557750378</v>
          </cell>
          <cell r="T254">
            <v>108.89723629075539</v>
          </cell>
          <cell r="U254" t="str">
            <v>Old</v>
          </cell>
          <cell r="X254">
            <v>30</v>
          </cell>
          <cell r="Y254">
            <v>0.28599999999999998</v>
          </cell>
          <cell r="Z254">
            <v>4.4223177406592198</v>
          </cell>
          <cell r="AA254">
            <v>0</v>
          </cell>
          <cell r="AB254">
            <v>-4.8962125687488331</v>
          </cell>
          <cell r="AC254" t="str">
            <v>BS-10,99</v>
          </cell>
          <cell r="AE254">
            <v>16.954000000000001</v>
          </cell>
          <cell r="AF254" t="str">
            <v>16/30</v>
          </cell>
          <cell r="AG254">
            <v>7.2</v>
          </cell>
          <cell r="AH254">
            <v>60.6</v>
          </cell>
          <cell r="AI254">
            <v>420</v>
          </cell>
          <cell r="AJ254">
            <v>4434.7437461137415</v>
          </cell>
          <cell r="AK254">
            <v>1</v>
          </cell>
          <cell r="AL254" t="str">
            <v>0.00000:0.00000!108.89724</v>
          </cell>
          <cell r="AM254">
            <v>0</v>
          </cell>
          <cell r="AN254">
            <v>0</v>
          </cell>
          <cell r="AO254">
            <v>0</v>
          </cell>
          <cell r="AP254">
            <v>108.89724</v>
          </cell>
          <cell r="AQ254">
            <v>108.89723629075539</v>
          </cell>
          <cell r="AR254">
            <v>1</v>
          </cell>
          <cell r="AS254">
            <v>2.4095530726242487E-7</v>
          </cell>
          <cell r="AT254">
            <v>0</v>
          </cell>
          <cell r="AU254" t="str">
            <v/>
          </cell>
          <cell r="AV254">
            <v>0</v>
          </cell>
          <cell r="AW254" t="str">
            <v>Proppant Pack damage=0%</v>
          </cell>
          <cell r="AY254">
            <v>108.89724</v>
          </cell>
        </row>
        <row r="255">
          <cell r="C255" t="str">
            <v>Ust-Balik!3070</v>
          </cell>
          <cell r="E255" t="str">
            <v>3070</v>
          </cell>
          <cell r="F255">
            <v>1175.7</v>
          </cell>
          <cell r="G255">
            <v>36759</v>
          </cell>
          <cell r="H255">
            <v>234</v>
          </cell>
          <cell r="I255">
            <v>90</v>
          </cell>
          <cell r="J255">
            <v>7.2</v>
          </cell>
          <cell r="K255">
            <v>10</v>
          </cell>
          <cell r="L255">
            <v>20</v>
          </cell>
          <cell r="M255">
            <v>80</v>
          </cell>
          <cell r="N255">
            <v>917</v>
          </cell>
          <cell r="O255">
            <v>36.283000000000001</v>
          </cell>
          <cell r="P255">
            <v>0</v>
          </cell>
          <cell r="R255">
            <v>5.4505555141594317E-2</v>
          </cell>
          <cell r="S255">
            <v>5.4505555141594317E-2</v>
          </cell>
          <cell r="T255">
            <v>12.770237538914065</v>
          </cell>
          <cell r="U255" t="str">
            <v>Old</v>
          </cell>
          <cell r="X255">
            <v>28.8</v>
          </cell>
          <cell r="Y255">
            <v>0.68600000000000005</v>
          </cell>
          <cell r="Z255">
            <v>-6.5119836130153255</v>
          </cell>
          <cell r="AA255">
            <v>-5.02346</v>
          </cell>
          <cell r="AB255">
            <v>-4.8676336183119915</v>
          </cell>
          <cell r="AC255" t="str">
            <v>BS-10,100</v>
          </cell>
          <cell r="AE255">
            <v>30.29</v>
          </cell>
          <cell r="AF255" t="str">
            <v>16/30</v>
          </cell>
          <cell r="AG255">
            <v>21.8</v>
          </cell>
          <cell r="AH255">
            <v>65</v>
          </cell>
          <cell r="AI255">
            <v>420</v>
          </cell>
          <cell r="AJ255">
            <v>2439.6689270043871</v>
          </cell>
          <cell r="AK255">
            <v>1</v>
          </cell>
          <cell r="AL255" t="str">
            <v>1:-5.02346!28.83156</v>
          </cell>
          <cell r="AM255">
            <v>1</v>
          </cell>
          <cell r="AN255">
            <v>-5.02346</v>
          </cell>
          <cell r="AO255">
            <v>28.379575185982436</v>
          </cell>
          <cell r="AP255">
            <v>28.83156</v>
          </cell>
          <cell r="AQ255">
            <v>12.770237538914065</v>
          </cell>
          <cell r="AR255">
            <v>7.7885938226716194</v>
          </cell>
          <cell r="AS255">
            <v>8.8971355261558607</v>
          </cell>
          <cell r="AT255">
            <v>0</v>
          </cell>
          <cell r="AU255" t="str">
            <v/>
          </cell>
          <cell r="AV255">
            <v>0</v>
          </cell>
          <cell r="AW255" t="str">
            <v>DAMMAGED formation S =8.9</v>
          </cell>
          <cell r="AY255">
            <v>28.83156</v>
          </cell>
        </row>
        <row r="256">
          <cell r="C256" t="str">
            <v>Ust-Balik!3095</v>
          </cell>
          <cell r="E256" t="str">
            <v>3095</v>
          </cell>
          <cell r="F256">
            <v>2334.9</v>
          </cell>
          <cell r="G256">
            <v>36805</v>
          </cell>
          <cell r="H256">
            <v>243</v>
          </cell>
          <cell r="I256">
            <v>90</v>
          </cell>
          <cell r="J256">
            <v>11.475</v>
          </cell>
          <cell r="K256">
            <v>17</v>
          </cell>
          <cell r="L256">
            <v>25</v>
          </cell>
          <cell r="M256">
            <v>75</v>
          </cell>
          <cell r="N256">
            <v>590</v>
          </cell>
          <cell r="O256">
            <v>170.041</v>
          </cell>
          <cell r="P256">
            <v>0</v>
          </cell>
          <cell r="R256">
            <v>0.23300757959950108</v>
          </cell>
          <cell r="S256">
            <v>0.23300757959950108</v>
          </cell>
          <cell r="T256">
            <v>54.591905946525117</v>
          </cell>
          <cell r="U256" t="str">
            <v>Old</v>
          </cell>
          <cell r="X256">
            <v>24</v>
          </cell>
          <cell r="Y256">
            <v>1.375</v>
          </cell>
          <cell r="Z256">
            <v>-5.8752777643361966</v>
          </cell>
          <cell r="AA256">
            <v>-4.87608</v>
          </cell>
          <cell r="AB256">
            <v>-4.9255799534356619</v>
          </cell>
          <cell r="AC256" t="str">
            <v>BS-10,100</v>
          </cell>
          <cell r="AE256">
            <v>29.149000000000001</v>
          </cell>
          <cell r="AF256" t="str">
            <v>16/20</v>
          </cell>
          <cell r="AG256">
            <v>16.5</v>
          </cell>
          <cell r="AH256">
            <v>60.9</v>
          </cell>
          <cell r="AI256">
            <v>420</v>
          </cell>
          <cell r="AJ256">
            <v>3310.730998137295</v>
          </cell>
          <cell r="AK256">
            <v>1</v>
          </cell>
          <cell r="AL256" t="str">
            <v>1:-4.87608!88.93297</v>
          </cell>
          <cell r="AM256">
            <v>1</v>
          </cell>
          <cell r="AN256">
            <v>-4.87608</v>
          </cell>
          <cell r="AO256">
            <v>10.086204061768864</v>
          </cell>
          <cell r="AP256">
            <v>88.932969999999997</v>
          </cell>
          <cell r="AQ256">
            <v>54.591905946525117</v>
          </cell>
          <cell r="AR256">
            <v>5.2430191898484928</v>
          </cell>
          <cell r="AS256">
            <v>4.4499319626979856</v>
          </cell>
          <cell r="AT256">
            <v>0</v>
          </cell>
          <cell r="AU256" t="str">
            <v/>
          </cell>
          <cell r="AV256">
            <v>0</v>
          </cell>
          <cell r="AW256" t="str">
            <v>DAMMAGED formation S =4.4</v>
          </cell>
          <cell r="AY256">
            <v>88.932969999999997</v>
          </cell>
        </row>
        <row r="257">
          <cell r="C257" t="str">
            <v>Ust-Balik!3107</v>
          </cell>
          <cell r="E257" t="str">
            <v>3107</v>
          </cell>
          <cell r="F257">
            <v>2337.1</v>
          </cell>
          <cell r="G257">
            <v>36752</v>
          </cell>
          <cell r="H257">
            <v>246.17060520000001</v>
          </cell>
          <cell r="I257">
            <v>90</v>
          </cell>
          <cell r="J257" t="str">
            <v/>
          </cell>
          <cell r="K257" t="str">
            <v/>
          </cell>
          <cell r="L257" t="str">
            <v/>
          </cell>
          <cell r="M257" t="str">
            <v/>
          </cell>
          <cell r="N257" t="str">
            <v/>
          </cell>
          <cell r="O257" t="str">
            <v/>
          </cell>
          <cell r="P257">
            <v>0</v>
          </cell>
          <cell r="Q257">
            <v>0.1792631741556179</v>
          </cell>
          <cell r="R257" t="str">
            <v/>
          </cell>
          <cell r="S257">
            <v>0.1792631741556179</v>
          </cell>
          <cell r="T257">
            <v>41.999999999999993</v>
          </cell>
          <cell r="U257" t="str">
            <v>Old</v>
          </cell>
          <cell r="X257">
            <v>32.25</v>
          </cell>
          <cell r="Y257">
            <v>0.76639999999999997</v>
          </cell>
          <cell r="Z257">
            <v>-5.4194062117579289</v>
          </cell>
          <cell r="AA257">
            <v>-4.8505200000000004</v>
          </cell>
          <cell r="AB257">
            <v>-4.8522618546885763</v>
          </cell>
          <cell r="AC257" t="str">
            <v>BS-10,100</v>
          </cell>
          <cell r="AE257">
            <v>38.700000000000003</v>
          </cell>
          <cell r="AF257" t="str">
            <v>16/20</v>
          </cell>
          <cell r="AG257">
            <v>14</v>
          </cell>
          <cell r="AH257">
            <v>54.1</v>
          </cell>
          <cell r="AI257">
            <v>420</v>
          </cell>
          <cell r="AJ257">
            <v>5831.5920597926552</v>
          </cell>
          <cell r="AK257">
            <v>1</v>
          </cell>
          <cell r="AL257" t="str">
            <v>1:-4.85052!48.36045</v>
          </cell>
          <cell r="AM257">
            <v>1</v>
          </cell>
          <cell r="AN257">
            <v>-4.8505200000000004</v>
          </cell>
          <cell r="AO257">
            <v>31.205243309745917</v>
          </cell>
          <cell r="AP257">
            <v>48.36045</v>
          </cell>
          <cell r="AQ257">
            <v>41.999999999999993</v>
          </cell>
          <cell r="AR257">
            <v>3.6632512712156449</v>
          </cell>
          <cell r="AS257">
            <v>1.0712884749940708</v>
          </cell>
          <cell r="AT257">
            <v>0</v>
          </cell>
          <cell r="AU257" t="str">
            <v/>
          </cell>
          <cell r="AV257">
            <v>0</v>
          </cell>
          <cell r="AW257" t="str">
            <v>Prefrac  kh estimate acceptable</v>
          </cell>
          <cell r="AY257">
            <v>48.36045</v>
          </cell>
        </row>
        <row r="258">
          <cell r="C258" t="str">
            <v>Ust-Balik!3210</v>
          </cell>
          <cell r="E258" t="str">
            <v>3210</v>
          </cell>
          <cell r="F258">
            <v>1193.9000000000001</v>
          </cell>
          <cell r="G258">
            <v>36761</v>
          </cell>
          <cell r="H258">
            <v>235</v>
          </cell>
          <cell r="I258">
            <v>90</v>
          </cell>
          <cell r="J258">
            <v>4.4820000000000002</v>
          </cell>
          <cell r="K258">
            <v>6</v>
          </cell>
          <cell r="L258">
            <v>17</v>
          </cell>
          <cell r="M258">
            <v>83</v>
          </cell>
          <cell r="N258">
            <v>799</v>
          </cell>
          <cell r="O258">
            <v>48.541000000000004</v>
          </cell>
          <cell r="P258">
            <v>0</v>
          </cell>
          <cell r="R258">
            <v>3.3713384624352645E-2</v>
          </cell>
          <cell r="S258">
            <v>3.3713384624352645E-2</v>
          </cell>
          <cell r="T258">
            <v>7.8987899265557902</v>
          </cell>
          <cell r="U258" t="str">
            <v>Old</v>
          </cell>
          <cell r="X258">
            <v>30.33</v>
          </cell>
          <cell r="Y258">
            <v>0.84809999999999997</v>
          </cell>
          <cell r="Z258">
            <v>-6.7928409241750449</v>
          </cell>
          <cell r="AA258">
            <v>-5.0484400000000003</v>
          </cell>
          <cell r="AB258">
            <v>-5.0255864429313615</v>
          </cell>
          <cell r="AC258" t="str">
            <v>BS-10,100</v>
          </cell>
          <cell r="AE258">
            <v>29.13</v>
          </cell>
          <cell r="AF258" t="str">
            <v>16/30</v>
          </cell>
          <cell r="AG258">
            <v>10.8</v>
          </cell>
          <cell r="AH258">
            <v>70.900000000000006</v>
          </cell>
          <cell r="AI258">
            <v>420</v>
          </cell>
          <cell r="AJ258">
            <v>4341.8215081457865</v>
          </cell>
          <cell r="AK258">
            <v>1</v>
          </cell>
          <cell r="AL258" t="str">
            <v>1:-5.04844!51.60580</v>
          </cell>
          <cell r="AM258">
            <v>1</v>
          </cell>
          <cell r="AN258">
            <v>-5.0484400000000003</v>
          </cell>
          <cell r="AO258">
            <v>12.815954918214601</v>
          </cell>
          <cell r="AP258">
            <v>51.605800000000002</v>
          </cell>
          <cell r="AQ258">
            <v>7.8987899265557902</v>
          </cell>
          <cell r="AR258">
            <v>22.816596092378912</v>
          </cell>
          <cell r="AS258">
            <v>39.143388181146605</v>
          </cell>
          <cell r="AT258">
            <v>0</v>
          </cell>
          <cell r="AU258" t="str">
            <v/>
          </cell>
          <cell r="AV258">
            <v>0</v>
          </cell>
          <cell r="AW258" t="str">
            <v>DAMMAGED formation S =39.1</v>
          </cell>
          <cell r="AY258">
            <v>51.605800000000002</v>
          </cell>
        </row>
        <row r="259">
          <cell r="C259" t="str">
            <v>Ust-Balik!3326</v>
          </cell>
          <cell r="E259" t="str">
            <v>3326</v>
          </cell>
          <cell r="F259">
            <v>2441</v>
          </cell>
          <cell r="G259">
            <v>36784</v>
          </cell>
          <cell r="H259">
            <v>225</v>
          </cell>
          <cell r="I259">
            <v>90</v>
          </cell>
          <cell r="J259" t="str">
            <v/>
          </cell>
          <cell r="K259" t="str">
            <v/>
          </cell>
          <cell r="L259" t="str">
            <v/>
          </cell>
          <cell r="M259" t="str">
            <v/>
          </cell>
          <cell r="N259" t="str">
            <v/>
          </cell>
          <cell r="O259" t="str">
            <v/>
          </cell>
          <cell r="P259">
            <v>0</v>
          </cell>
          <cell r="Q259">
            <v>0.12377695358364095</v>
          </cell>
          <cell r="R259" t="str">
            <v/>
          </cell>
          <cell r="S259">
            <v>0.12377695358364095</v>
          </cell>
          <cell r="T259">
            <v>29.000000000000007</v>
          </cell>
          <cell r="U259" t="str">
            <v>Old</v>
          </cell>
          <cell r="X259">
            <v>28.5</v>
          </cell>
          <cell r="Y259">
            <v>0.61280000000000001</v>
          </cell>
          <cell r="Z259">
            <v>-5.6451885292402677</v>
          </cell>
          <cell r="AA259">
            <v>-4.8160299999999996</v>
          </cell>
          <cell r="AB259">
            <v>-4.7811907539631839</v>
          </cell>
          <cell r="AC259" t="str">
            <v>BS-10,100</v>
          </cell>
          <cell r="AE259">
            <v>18</v>
          </cell>
          <cell r="AF259" t="str">
            <v>16/30</v>
          </cell>
          <cell r="AG259">
            <v>11.6</v>
          </cell>
          <cell r="AH259">
            <v>53.8</v>
          </cell>
          <cell r="AI259">
            <v>420</v>
          </cell>
          <cell r="AJ259">
            <v>3291.8020543631533</v>
          </cell>
          <cell r="AK259">
            <v>1</v>
          </cell>
          <cell r="AL259" t="str">
            <v>1:-4.81603!37.58128</v>
          </cell>
          <cell r="AM259">
            <v>1</v>
          </cell>
          <cell r="AN259">
            <v>-4.8160299999999996</v>
          </cell>
          <cell r="AO259">
            <v>18.885907472475271</v>
          </cell>
          <cell r="AP259">
            <v>37.58128</v>
          </cell>
          <cell r="AQ259">
            <v>29.000000000000007</v>
          </cell>
          <cell r="AR259">
            <v>4.0598915549159482</v>
          </cell>
          <cell r="AS259">
            <v>2.0932541224841659</v>
          </cell>
          <cell r="AT259">
            <v>0</v>
          </cell>
          <cell r="AU259" t="str">
            <v/>
          </cell>
          <cell r="AV259">
            <v>0</v>
          </cell>
          <cell r="AW259" t="str">
            <v>Prefrac  kh estimate acceptable</v>
          </cell>
          <cell r="AY259">
            <v>37.58128</v>
          </cell>
        </row>
        <row r="260">
          <cell r="C260" t="str">
            <v>Ust-Balik!3340</v>
          </cell>
          <cell r="E260" t="str">
            <v>3340</v>
          </cell>
          <cell r="F260">
            <v>2480.3000000000002</v>
          </cell>
          <cell r="G260">
            <v>36774</v>
          </cell>
          <cell r="H260">
            <v>216</v>
          </cell>
          <cell r="I260">
            <v>90</v>
          </cell>
          <cell r="J260">
            <v>8.7750000000000004</v>
          </cell>
          <cell r="K260">
            <v>13</v>
          </cell>
          <cell r="L260">
            <v>25</v>
          </cell>
          <cell r="M260">
            <v>75</v>
          </cell>
          <cell r="N260">
            <v>1036</v>
          </cell>
          <cell r="O260">
            <v>142.98700000000002</v>
          </cell>
          <cell r="P260">
            <v>0</v>
          </cell>
          <cell r="R260">
            <v>0.17805048416035507</v>
          </cell>
          <cell r="S260">
            <v>0.17805048416035507</v>
          </cell>
          <cell r="T260">
            <v>41.715875945849177</v>
          </cell>
          <cell r="U260" t="str">
            <v>Old</v>
          </cell>
          <cell r="X260">
            <v>31.5</v>
          </cell>
          <cell r="Y260">
            <v>0.87419999999999998</v>
          </cell>
          <cell r="Z260">
            <v>-5.6332574988389146</v>
          </cell>
          <cell r="AA260">
            <v>-5.0499599999999996</v>
          </cell>
          <cell r="AB260">
            <v>-5.0350129402208808</v>
          </cell>
          <cell r="AC260" t="str">
            <v>BS-10,100</v>
          </cell>
          <cell r="AE260">
            <v>34.362000000000002</v>
          </cell>
          <cell r="AF260" t="str">
            <v>16/20</v>
          </cell>
          <cell r="AG260">
            <v>19.2</v>
          </cell>
          <cell r="AH260">
            <v>68.599999999999994</v>
          </cell>
          <cell r="AI260">
            <v>420</v>
          </cell>
          <cell r="AJ260">
            <v>2977.5191326530617</v>
          </cell>
          <cell r="AK260">
            <v>1</v>
          </cell>
          <cell r="AL260" t="str">
            <v>1:-5.04996!43.96038</v>
          </cell>
          <cell r="AM260">
            <v>1</v>
          </cell>
          <cell r="AN260">
            <v>-5.0499599999999996</v>
          </cell>
          <cell r="AO260">
            <v>18.957027318484155</v>
          </cell>
          <cell r="AP260">
            <v>43.960380000000001</v>
          </cell>
          <cell r="AQ260">
            <v>41.715875945849177</v>
          </cell>
          <cell r="AR260">
            <v>3.6829768367993654</v>
          </cell>
          <cell r="AS260">
            <v>0.38061588281706094</v>
          </cell>
          <cell r="AT260">
            <v>0</v>
          </cell>
          <cell r="AU260" t="str">
            <v/>
          </cell>
          <cell r="AV260">
            <v>0</v>
          </cell>
          <cell r="AW260" t="str">
            <v>Slight DAMMAGED formation S =0.4</v>
          </cell>
          <cell r="AY260">
            <v>43.960380000000001</v>
          </cell>
        </row>
        <row r="261">
          <cell r="C261" t="str">
            <v>Ust-Balik!7053</v>
          </cell>
          <cell r="E261" t="str">
            <v>7053</v>
          </cell>
          <cell r="F261">
            <v>2403.9499999999998</v>
          </cell>
          <cell r="G261">
            <v>36683</v>
          </cell>
          <cell r="H261">
            <v>253.14549</v>
          </cell>
          <cell r="I261">
            <v>90</v>
          </cell>
          <cell r="J261">
            <v>8.1</v>
          </cell>
          <cell r="K261">
            <v>10</v>
          </cell>
          <cell r="L261">
            <v>10</v>
          </cell>
          <cell r="M261">
            <v>90</v>
          </cell>
          <cell r="N261">
            <v>840</v>
          </cell>
          <cell r="O261">
            <v>153.75549999999998</v>
          </cell>
          <cell r="P261">
            <v>0</v>
          </cell>
          <cell r="R261">
            <v>0.10061375396053465</v>
          </cell>
          <cell r="S261">
            <v>0.10061375396053465</v>
          </cell>
          <cell r="T261">
            <v>23.573038278760301</v>
          </cell>
          <cell r="U261" t="str">
            <v>Old</v>
          </cell>
          <cell r="X261">
            <v>35</v>
          </cell>
          <cell r="Y261">
            <v>1.0212000000000001</v>
          </cell>
          <cell r="Z261">
            <v>-6.3770754616575092</v>
          </cell>
          <cell r="AA261">
            <v>-5.0815200000000003</v>
          </cell>
          <cell r="AB261">
            <v>-5.0581138994746597</v>
          </cell>
          <cell r="AC261" t="str">
            <v>BS-10,100</v>
          </cell>
          <cell r="AE261">
            <v>39.811999999999998</v>
          </cell>
          <cell r="AF261" t="str">
            <v>16/30</v>
          </cell>
          <cell r="AG261">
            <v>18.5</v>
          </cell>
          <cell r="AH261">
            <v>72.099999999999994</v>
          </cell>
          <cell r="AI261">
            <v>420</v>
          </cell>
          <cell r="AJ261">
            <v>3406.5006331785557</v>
          </cell>
          <cell r="AK261">
            <v>1</v>
          </cell>
          <cell r="AL261" t="str">
            <v>1:-5.08152!56.26004</v>
          </cell>
          <cell r="AM261">
            <v>1</v>
          </cell>
          <cell r="AN261">
            <v>-5.0815200000000003</v>
          </cell>
          <cell r="AO261">
            <v>15.536203496297508</v>
          </cell>
          <cell r="AP261">
            <v>56.260039999999996</v>
          </cell>
          <cell r="AQ261">
            <v>23.573038278760301</v>
          </cell>
          <cell r="AR261">
            <v>8.4732175276285062</v>
          </cell>
          <cell r="AS261">
            <v>9.8090603085869468</v>
          </cell>
          <cell r="AT261">
            <v>0</v>
          </cell>
          <cell r="AU261" t="str">
            <v/>
          </cell>
          <cell r="AV261">
            <v>0</v>
          </cell>
          <cell r="AW261" t="str">
            <v>DAMMAGED formation S =9.8</v>
          </cell>
          <cell r="AY261">
            <v>56.260039999999996</v>
          </cell>
        </row>
        <row r="262">
          <cell r="C262" t="str">
            <v>Ust-Balik!7082</v>
          </cell>
          <cell r="E262" t="str">
            <v>7082</v>
          </cell>
          <cell r="F262">
            <v>2267.4</v>
          </cell>
          <cell r="G262">
            <v>36850</v>
          </cell>
          <cell r="H262">
            <v>221</v>
          </cell>
          <cell r="I262">
            <v>90</v>
          </cell>
          <cell r="J262" t="str">
            <v/>
          </cell>
          <cell r="K262" t="str">
            <v/>
          </cell>
          <cell r="L262" t="str">
            <v/>
          </cell>
          <cell r="M262" t="str">
            <v/>
          </cell>
          <cell r="N262" t="str">
            <v/>
          </cell>
          <cell r="O262" t="str">
            <v/>
          </cell>
          <cell r="P262">
            <v>0</v>
          </cell>
          <cell r="Q262">
            <v>0.24413937051669868</v>
          </cell>
          <cell r="R262" t="str">
            <v/>
          </cell>
          <cell r="S262">
            <v>0.24413937051669868</v>
          </cell>
          <cell r="T262">
            <v>57.199999999999996</v>
          </cell>
          <cell r="U262" t="str">
            <v>Old</v>
          </cell>
          <cell r="X262">
            <v>26.67</v>
          </cell>
          <cell r="Y262">
            <v>0.93810000000000004</v>
          </cell>
          <cell r="Z262">
            <v>-5.2330342422851182</v>
          </cell>
          <cell r="AA262">
            <v>-4.6410999999999998</v>
          </cell>
          <cell r="AB262">
            <v>-4.6085464383616168</v>
          </cell>
          <cell r="AC262" t="str">
            <v>BS-10,100</v>
          </cell>
          <cell r="AE262">
            <v>31.116</v>
          </cell>
          <cell r="AF262" t="str">
            <v>16/30</v>
          </cell>
          <cell r="AG262">
            <v>14.3</v>
          </cell>
          <cell r="AH262">
            <v>43.9</v>
          </cell>
          <cell r="AI262">
            <v>420</v>
          </cell>
          <cell r="AJ262">
            <v>5656.9804366179524</v>
          </cell>
          <cell r="AK262">
            <v>1</v>
          </cell>
          <cell r="AL262" t="str">
            <v>1:-4.64110!67.36760</v>
          </cell>
          <cell r="AM262">
            <v>1</v>
          </cell>
          <cell r="AN262">
            <v>-4.6410999999999998</v>
          </cell>
          <cell r="AO262">
            <v>27.353009628847737</v>
          </cell>
          <cell r="AP262">
            <v>67.367599999999996</v>
          </cell>
          <cell r="AQ262">
            <v>57.199999999999996</v>
          </cell>
          <cell r="AR262">
            <v>3.4244470505095954</v>
          </cell>
          <cell r="AS262">
            <v>1.2574487800696224</v>
          </cell>
          <cell r="AT262">
            <v>0</v>
          </cell>
          <cell r="AU262" t="str">
            <v/>
          </cell>
          <cell r="AV262">
            <v>0</v>
          </cell>
          <cell r="AW262" t="str">
            <v>Prefrac  kh estimate acceptable</v>
          </cell>
          <cell r="AY262">
            <v>67.367599999999996</v>
          </cell>
        </row>
        <row r="263">
          <cell r="C263" t="str">
            <v>Uzn.-Surgut!500</v>
          </cell>
          <cell r="E263" t="str">
            <v>500</v>
          </cell>
          <cell r="F263">
            <v>2341.65</v>
          </cell>
          <cell r="G263">
            <v>36624</v>
          </cell>
          <cell r="H263">
            <v>209.74620680000001</v>
          </cell>
          <cell r="I263">
            <v>106</v>
          </cell>
          <cell r="J263">
            <v>32.4</v>
          </cell>
          <cell r="K263">
            <v>40</v>
          </cell>
          <cell r="L263">
            <v>10</v>
          </cell>
          <cell r="M263">
            <v>90</v>
          </cell>
          <cell r="N263">
            <v>1202</v>
          </cell>
          <cell r="O263">
            <v>115.5685</v>
          </cell>
          <cell r="P263">
            <v>0</v>
          </cell>
          <cell r="R263">
            <v>0.42472896568766311</v>
          </cell>
          <cell r="S263">
            <v>0.42472896568766311</v>
          </cell>
          <cell r="T263">
            <v>99.510770368241907</v>
          </cell>
          <cell r="U263" t="str">
            <v>Old</v>
          </cell>
          <cell r="X263">
            <v>28.25</v>
          </cell>
          <cell r="Y263">
            <v>11.1602</v>
          </cell>
          <cell r="Z263">
            <v>-6.8048257239960268</v>
          </cell>
          <cell r="AA263">
            <v>-4.2448899999999998</v>
          </cell>
          <cell r="AB263">
            <v>-4.7166479953386879</v>
          </cell>
          <cell r="AC263" t="str">
            <v>BS10,100</v>
          </cell>
          <cell r="AE263">
            <v>44.98</v>
          </cell>
          <cell r="AF263" t="str">
            <v>16/30</v>
          </cell>
          <cell r="AG263">
            <v>7.1</v>
          </cell>
          <cell r="AH263">
            <v>56.9</v>
          </cell>
          <cell r="AI263">
            <v>420</v>
          </cell>
          <cell r="AJ263">
            <v>12707.212942205842</v>
          </cell>
          <cell r="AK263">
            <v>1</v>
          </cell>
          <cell r="AL263" t="str">
            <v>1:-4.24489!1045.72754</v>
          </cell>
          <cell r="AM263">
            <v>1</v>
          </cell>
          <cell r="AN263">
            <v>-4.2448899999999998</v>
          </cell>
          <cell r="AO263">
            <v>1.5162745458390734</v>
          </cell>
          <cell r="AP263">
            <v>1045.7275400000001</v>
          </cell>
          <cell r="AQ263">
            <v>99.510770368241907</v>
          </cell>
          <cell r="AR263">
            <v>26.276011341397261</v>
          </cell>
          <cell r="AS263">
            <v>67.264889416985866</v>
          </cell>
          <cell r="AT263">
            <v>0</v>
          </cell>
          <cell r="AU263" t="str">
            <v/>
          </cell>
          <cell r="AV263">
            <v>0</v>
          </cell>
          <cell r="AW263" t="str">
            <v>DAMMAGED formation S =67.3</v>
          </cell>
          <cell r="AY263">
            <v>1045.7275400000001</v>
          </cell>
        </row>
        <row r="264">
          <cell r="C264" t="str">
            <v>Uzn.-Surgut!5018</v>
          </cell>
          <cell r="E264" t="str">
            <v>5018</v>
          </cell>
          <cell r="F264">
            <v>2327.4499999999998</v>
          </cell>
          <cell r="G264">
            <v>36714</v>
          </cell>
          <cell r="H264">
            <v>221.11608480000001</v>
          </cell>
          <cell r="I264">
            <v>106</v>
          </cell>
          <cell r="J264" t="str">
            <v/>
          </cell>
          <cell r="K264" t="str">
            <v/>
          </cell>
          <cell r="L264" t="str">
            <v/>
          </cell>
          <cell r="M264" t="str">
            <v/>
          </cell>
          <cell r="N264" t="str">
            <v/>
          </cell>
          <cell r="O264" t="str">
            <v/>
          </cell>
          <cell r="P264">
            <v>0</v>
          </cell>
          <cell r="Q264">
            <v>0.31072283520307103</v>
          </cell>
          <cell r="R264" t="str">
            <v/>
          </cell>
          <cell r="S264">
            <v>0.31072283520307103</v>
          </cell>
          <cell r="T264">
            <v>72.799999999999983</v>
          </cell>
          <cell r="U264" t="str">
            <v>Old</v>
          </cell>
          <cell r="X264">
            <v>88</v>
          </cell>
          <cell r="Y264">
            <v>1.03</v>
          </cell>
          <cell r="Z264">
            <v>-4.9399997653706205</v>
          </cell>
          <cell r="AA264">
            <v>-4.8963599999999996</v>
          </cell>
          <cell r="AB264">
            <v>-4.7749589033696012</v>
          </cell>
          <cell r="AC264" t="str">
            <v>BS-10,76</v>
          </cell>
          <cell r="AE264">
            <v>23.6</v>
          </cell>
          <cell r="AF264" t="str">
            <v>16/30</v>
          </cell>
          <cell r="AG264">
            <v>10.4</v>
          </cell>
          <cell r="AH264">
            <v>63.1</v>
          </cell>
          <cell r="AI264">
            <v>420</v>
          </cell>
          <cell r="AJ264">
            <v>4104.4103694830628</v>
          </cell>
          <cell r="AK264">
            <v>1</v>
          </cell>
          <cell r="AL264" t="str">
            <v>1:-4.89636!74.28862</v>
          </cell>
          <cell r="AM264">
            <v>1</v>
          </cell>
          <cell r="AN264">
            <v>-4.8963599999999996</v>
          </cell>
          <cell r="AO264">
            <v>9.1061010495108672</v>
          </cell>
          <cell r="AP264">
            <v>74.288619999999995</v>
          </cell>
          <cell r="AQ264">
            <v>72.799999999999983</v>
          </cell>
          <cell r="AR264">
            <v>3.3148473250306587</v>
          </cell>
          <cell r="AS264">
            <v>0.14465063698737612</v>
          </cell>
          <cell r="AT264">
            <v>0</v>
          </cell>
          <cell r="AU264" t="str">
            <v/>
          </cell>
          <cell r="AV264">
            <v>0</v>
          </cell>
          <cell r="AW264" t="str">
            <v>Prefrac  kh estimate acceptable</v>
          </cell>
          <cell r="AY264">
            <v>74.288619999999995</v>
          </cell>
        </row>
        <row r="265">
          <cell r="C265" t="str">
            <v>Igolskoye!395</v>
          </cell>
          <cell r="D265">
            <v>4</v>
          </cell>
          <cell r="E265">
            <v>395</v>
          </cell>
          <cell r="F265">
            <v>2787.45</v>
          </cell>
          <cell r="G265">
            <v>36616</v>
          </cell>
          <cell r="H265">
            <v>222</v>
          </cell>
          <cell r="I265">
            <v>84</v>
          </cell>
          <cell r="J265">
            <v>11.74432</v>
          </cell>
          <cell r="K265">
            <v>14</v>
          </cell>
          <cell r="L265">
            <v>2</v>
          </cell>
          <cell r="M265">
            <v>98</v>
          </cell>
          <cell r="N265">
            <v>1156</v>
          </cell>
          <cell r="O265">
            <v>159.83049999999997</v>
          </cell>
          <cell r="P265">
            <v>0</v>
          </cell>
          <cell r="R265">
            <v>0.22519080899798122</v>
          </cell>
          <cell r="S265">
            <v>0.22519080899798122</v>
          </cell>
          <cell r="T265">
            <v>28.372836050391932</v>
          </cell>
          <cell r="U265" t="str">
            <v>Old</v>
          </cell>
          <cell r="V265" t="str">
            <v>First 4 months data Missing</v>
          </cell>
          <cell r="X265">
            <v>114</v>
          </cell>
          <cell r="Y265">
            <v>0.28239999999999998</v>
          </cell>
          <cell r="Z265">
            <v>-4.040519965726391</v>
          </cell>
          <cell r="AA265">
            <v>-4.04068</v>
          </cell>
          <cell r="AB265">
            <v>-4.356202339705554</v>
          </cell>
          <cell r="AC265" t="str">
            <v>J-1,66</v>
          </cell>
          <cell r="AE265">
            <v>8.9</v>
          </cell>
          <cell r="AF265" t="str">
            <v>16/30</v>
          </cell>
          <cell r="AG265">
            <v>5.4</v>
          </cell>
          <cell r="AH265">
            <v>47.1</v>
          </cell>
          <cell r="AI265">
            <v>420</v>
          </cell>
          <cell r="AJ265">
            <v>3993.7126270551908</v>
          </cell>
          <cell r="AK265">
            <v>1</v>
          </cell>
          <cell r="AL265" t="str">
            <v>0.09082:-4.04068!28.37284</v>
          </cell>
          <cell r="AM265">
            <v>9.0819999999999998E-2</v>
          </cell>
          <cell r="AN265">
            <v>-4.04068</v>
          </cell>
          <cell r="AO265">
            <v>1.4656435215883239</v>
          </cell>
          <cell r="AP265">
            <v>28.37284</v>
          </cell>
          <cell r="AQ265">
            <v>28.372836050391932</v>
          </cell>
          <cell r="AR265">
            <v>1.2541137895953844</v>
          </cell>
          <cell r="AS265">
            <v>-3.2698593381941086</v>
          </cell>
          <cell r="AT265">
            <v>0</v>
          </cell>
          <cell r="AU265" t="str">
            <v/>
          </cell>
          <cell r="AV265">
            <v>0</v>
          </cell>
          <cell r="AW265" t="str">
            <v>Proppant Pack damage=9%</v>
          </cell>
        </row>
        <row r="266">
          <cell r="C266" t="str">
            <v>Igolskoye!241</v>
          </cell>
          <cell r="D266">
            <v>36</v>
          </cell>
          <cell r="E266">
            <v>241</v>
          </cell>
          <cell r="F266">
            <v>2766.5</v>
          </cell>
          <cell r="G266">
            <v>36608</v>
          </cell>
          <cell r="H266">
            <v>267</v>
          </cell>
          <cell r="I266">
            <v>84</v>
          </cell>
          <cell r="J266">
            <v>51.693840000000002</v>
          </cell>
          <cell r="K266">
            <v>61</v>
          </cell>
          <cell r="L266">
            <v>1</v>
          </cell>
          <cell r="M266">
            <v>99</v>
          </cell>
          <cell r="N266">
            <v>1218</v>
          </cell>
          <cell r="O266">
            <v>152.36500000000001</v>
          </cell>
          <cell r="P266">
            <v>0</v>
          </cell>
          <cell r="R266">
            <v>0.53212369695119288</v>
          </cell>
          <cell r="S266">
            <v>0.53212369695119288</v>
          </cell>
          <cell r="T266">
            <v>67.044736325184502</v>
          </cell>
          <cell r="U266" t="str">
            <v>Old</v>
          </cell>
          <cell r="X266">
            <v>59</v>
          </cell>
          <cell r="Y266">
            <v>2.6558000000000002</v>
          </cell>
          <cell r="Z266">
            <v>-6.3118283761099123</v>
          </cell>
          <cell r="AA266">
            <v>-4.3058500000000004</v>
          </cell>
          <cell r="AB266">
            <v>-4.2841152717655007</v>
          </cell>
          <cell r="AC266" t="str">
            <v>J-1,95</v>
          </cell>
          <cell r="AE266">
            <v>12.4</v>
          </cell>
          <cell r="AF266" t="str">
            <v>16/30</v>
          </cell>
          <cell r="AG266">
            <v>6</v>
          </cell>
          <cell r="AH266">
            <v>70.599999999999994</v>
          </cell>
          <cell r="AI266">
            <v>420</v>
          </cell>
          <cell r="AJ266">
            <v>3340.9286857987436</v>
          </cell>
          <cell r="AK266">
            <v>1</v>
          </cell>
          <cell r="AL266" t="str">
            <v>1:-4.30585!243.49060</v>
          </cell>
          <cell r="AM266">
            <v>1</v>
          </cell>
          <cell r="AN266">
            <v>-4.3058500000000004</v>
          </cell>
          <cell r="AO266">
            <v>1.1660886143318623</v>
          </cell>
          <cell r="AP266">
            <v>243.4906</v>
          </cell>
          <cell r="AQ266">
            <v>67.044736325184502</v>
          </cell>
          <cell r="AR266">
            <v>4.9909409730860794</v>
          </cell>
          <cell r="AS266">
            <v>6.741856881259813</v>
          </cell>
          <cell r="AT266">
            <v>0</v>
          </cell>
          <cell r="AU266" t="str">
            <v/>
          </cell>
          <cell r="AV266">
            <v>0</v>
          </cell>
          <cell r="AW266" t="str">
            <v>DAMMAGED formation S =6.7</v>
          </cell>
        </row>
        <row r="267">
          <cell r="C267" t="str">
            <v>Igolskoye!303</v>
          </cell>
          <cell r="D267">
            <v>3</v>
          </cell>
          <cell r="E267">
            <v>303</v>
          </cell>
          <cell r="F267">
            <v>2786.65</v>
          </cell>
          <cell r="G267">
            <v>36676</v>
          </cell>
          <cell r="H267">
            <v>197</v>
          </cell>
          <cell r="I267">
            <v>84</v>
          </cell>
          <cell r="J267">
            <v>9.3218399999999999</v>
          </cell>
          <cell r="K267">
            <v>11</v>
          </cell>
          <cell r="L267">
            <v>1</v>
          </cell>
          <cell r="M267">
            <v>99</v>
          </cell>
          <cell r="N267">
            <v>959</v>
          </cell>
          <cell r="O267">
            <v>177.48850000000002</v>
          </cell>
          <cell r="P267">
            <v>0</v>
          </cell>
          <cell r="R267">
            <v>0.56377008430925402</v>
          </cell>
          <cell r="S267">
            <v>0.56377008430925402</v>
          </cell>
          <cell r="T267">
            <v>71.032011667783038</v>
          </cell>
          <cell r="U267" t="str">
            <v>Old</v>
          </cell>
          <cell r="X267">
            <v>34.69</v>
          </cell>
          <cell r="Y267">
            <v>5.5042</v>
          </cell>
          <cell r="Z267">
            <v>-6.6844005868843617</v>
          </cell>
          <cell r="AA267">
            <v>-2.7714500000000002</v>
          </cell>
          <cell r="AB267">
            <v>-3.0885239668771831</v>
          </cell>
          <cell r="AC267" t="str">
            <v>J-1,109</v>
          </cell>
          <cell r="AE267">
            <v>7.6749999999999998</v>
          </cell>
          <cell r="AF267" t="str">
            <v>20/40</v>
          </cell>
          <cell r="AG267">
            <v>5</v>
          </cell>
          <cell r="AH267">
            <v>53.5</v>
          </cell>
          <cell r="AI267">
            <v>250</v>
          </cell>
          <cell r="AJ267">
            <v>1949.1568468102398</v>
          </cell>
          <cell r="AK267">
            <v>1</v>
          </cell>
          <cell r="AL267" t="str">
            <v>1:-2.77145!784.35912</v>
          </cell>
          <cell r="AM267">
            <v>1</v>
          </cell>
          <cell r="AN267">
            <v>-2.7714500000000002</v>
          </cell>
          <cell r="AO267">
            <v>0.23224590196729866</v>
          </cell>
          <cell r="AP267">
            <v>784.35911999999996</v>
          </cell>
          <cell r="AQ267">
            <v>71.032011667783038</v>
          </cell>
          <cell r="AR267">
            <v>9.7631963894081402</v>
          </cell>
          <cell r="AS267">
            <v>34.93304382741772</v>
          </cell>
          <cell r="AT267">
            <v>0</v>
          </cell>
          <cell r="AU267" t="str">
            <v/>
          </cell>
          <cell r="AV267">
            <v>0</v>
          </cell>
          <cell r="AW267" t="str">
            <v>DAMMAGED formation S =34.9</v>
          </cell>
        </row>
        <row r="268">
          <cell r="C268" t="str">
            <v>Igolskoye!1158</v>
          </cell>
          <cell r="D268">
            <v>11</v>
          </cell>
          <cell r="E268">
            <v>1158</v>
          </cell>
          <cell r="F268">
            <v>2790.3</v>
          </cell>
          <cell r="G268">
            <v>36679</v>
          </cell>
          <cell r="H268">
            <v>227</v>
          </cell>
          <cell r="I268">
            <v>84</v>
          </cell>
          <cell r="J268">
            <v>18.267039999999998</v>
          </cell>
          <cell r="K268">
            <v>22</v>
          </cell>
          <cell r="L268">
            <v>3</v>
          </cell>
          <cell r="M268">
            <v>97</v>
          </cell>
          <cell r="N268">
            <v>592</v>
          </cell>
          <cell r="O268">
            <v>210.84700000000001</v>
          </cell>
          <cell r="P268">
            <v>0</v>
          </cell>
          <cell r="R268">
            <v>1.3619761035101845</v>
          </cell>
          <cell r="S268">
            <v>1.3619761035101845</v>
          </cell>
          <cell r="T268">
            <v>171.60169574146576</v>
          </cell>
          <cell r="U268" t="str">
            <v>Old</v>
          </cell>
          <cell r="X268">
            <v>34.33</v>
          </cell>
          <cell r="Y268">
            <v>1.3804000000000001</v>
          </cell>
          <cell r="Z268">
            <v>-3.3206335070796049</v>
          </cell>
          <cell r="AA268">
            <v>-3.3204099999999999</v>
          </cell>
          <cell r="AB268">
            <v>-3.071156203025895</v>
          </cell>
          <cell r="AC268" t="str">
            <v>J-1,108</v>
          </cell>
          <cell r="AE268">
            <v>8.44</v>
          </cell>
          <cell r="AF268" t="str">
            <v>20/40</v>
          </cell>
          <cell r="AG268">
            <v>5</v>
          </cell>
          <cell r="AH268">
            <v>69.900000000000006</v>
          </cell>
          <cell r="AI268">
            <v>250</v>
          </cell>
          <cell r="AJ268">
            <v>1640.5423897493311</v>
          </cell>
          <cell r="AK268">
            <v>1</v>
          </cell>
          <cell r="AL268" t="str">
            <v>0.46777:-3.32041!171.60170</v>
          </cell>
          <cell r="AM268">
            <v>0.46777000000000002</v>
          </cell>
          <cell r="AN268">
            <v>-3.3204099999999999</v>
          </cell>
          <cell r="AO268">
            <v>0.31988292937435814</v>
          </cell>
          <cell r="AP268">
            <v>171.60169999999999</v>
          </cell>
          <cell r="AQ268">
            <v>171.60169574146576</v>
          </cell>
          <cell r="AR268">
            <v>1.0134669776457614</v>
          </cell>
          <cell r="AS268">
            <v>-3.2698597733453152</v>
          </cell>
          <cell r="AT268">
            <v>0</v>
          </cell>
          <cell r="AU268" t="str">
            <v/>
          </cell>
          <cell r="AV268">
            <v>0</v>
          </cell>
          <cell r="AW268" t="str">
            <v>Proppant Pack damage=47%</v>
          </cell>
        </row>
        <row r="269">
          <cell r="C269" t="str">
            <v>Igolskoye!809</v>
          </cell>
          <cell r="D269">
            <v>34</v>
          </cell>
          <cell r="E269">
            <v>809</v>
          </cell>
          <cell r="F269">
            <v>2780.5</v>
          </cell>
          <cell r="G269">
            <v>36679</v>
          </cell>
          <cell r="H269">
            <v>245</v>
          </cell>
          <cell r="I269">
            <v>84</v>
          </cell>
          <cell r="J269">
            <v>11.888128</v>
          </cell>
          <cell r="K269">
            <v>14</v>
          </cell>
          <cell r="L269">
            <v>0.8</v>
          </cell>
          <cell r="M269">
            <v>99.2</v>
          </cell>
          <cell r="N269">
            <v>965</v>
          </cell>
          <cell r="O269">
            <v>176.39500000000001</v>
          </cell>
          <cell r="P269">
            <v>0</v>
          </cell>
          <cell r="R269">
            <v>0.20406675898258139</v>
          </cell>
          <cell r="S269">
            <v>0.20406675898258139</v>
          </cell>
          <cell r="T269">
            <v>25.711318866479729</v>
          </cell>
          <cell r="U269" t="str">
            <v>Old</v>
          </cell>
          <cell r="X269">
            <v>30.21</v>
          </cell>
          <cell r="Y269">
            <v>0.78739999999999999</v>
          </cell>
          <cell r="Z269">
            <v>-6.0881329593070834</v>
          </cell>
          <cell r="AA269">
            <v>-4.4801599999999997</v>
          </cell>
          <cell r="AB269">
            <v>-3.9999364840406688</v>
          </cell>
          <cell r="AC269" t="str">
            <v>J-1,107</v>
          </cell>
          <cell r="AE269">
            <v>9.3580000000000005</v>
          </cell>
          <cell r="AF269" t="str">
            <v>20/40</v>
          </cell>
          <cell r="AG269">
            <v>4.5999999999999996</v>
          </cell>
          <cell r="AH269">
            <v>49.6</v>
          </cell>
          <cell r="AI269">
            <v>250</v>
          </cell>
          <cell r="AJ269">
            <v>2786.3503491066531</v>
          </cell>
          <cell r="AK269">
            <v>1</v>
          </cell>
          <cell r="AL269" t="str">
            <v>1:-4.48016!67.64502</v>
          </cell>
          <cell r="AM269">
            <v>1</v>
          </cell>
          <cell r="AN269">
            <v>-4.4801599999999997</v>
          </cell>
          <cell r="AO269">
            <v>3.820111581197116</v>
          </cell>
          <cell r="AP269">
            <v>67.645020000000002</v>
          </cell>
          <cell r="AQ269">
            <v>25.711318866479729</v>
          </cell>
          <cell r="AR269">
            <v>3.8585341420852273</v>
          </cell>
          <cell r="AS269">
            <v>2.9345517227099647</v>
          </cell>
          <cell r="AT269">
            <v>0</v>
          </cell>
          <cell r="AU269" t="str">
            <v/>
          </cell>
          <cell r="AV269">
            <v>0</v>
          </cell>
          <cell r="AW269" t="str">
            <v>DAMMAGED formation S =2.9</v>
          </cell>
        </row>
        <row r="270">
          <cell r="C270" t="str">
            <v>Igolskoye!1019</v>
          </cell>
          <cell r="D270">
            <v>23</v>
          </cell>
          <cell r="E270">
            <v>1019</v>
          </cell>
          <cell r="F270">
            <v>2753.9</v>
          </cell>
          <cell r="G270">
            <v>36680</v>
          </cell>
          <cell r="H270">
            <v>253</v>
          </cell>
          <cell r="I270">
            <v>84</v>
          </cell>
          <cell r="J270">
            <v>11.061232</v>
          </cell>
          <cell r="K270">
            <v>13</v>
          </cell>
          <cell r="L270">
            <v>0.6</v>
          </cell>
          <cell r="M270">
            <v>99.4</v>
          </cell>
          <cell r="N270">
            <v>897</v>
          </cell>
          <cell r="O270">
            <v>180.12100000000001</v>
          </cell>
          <cell r="P270">
            <v>0</v>
          </cell>
          <cell r="R270">
            <v>0.17837785919126226</v>
          </cell>
          <cell r="S270">
            <v>0.17837785919126226</v>
          </cell>
          <cell r="T270">
            <v>22.47465505530003</v>
          </cell>
          <cell r="U270" t="str">
            <v>Old</v>
          </cell>
          <cell r="X270">
            <v>30.62</v>
          </cell>
          <cell r="Y270">
            <v>1.0470999999999999</v>
          </cell>
          <cell r="Z270">
            <v>-6.4259870096414105</v>
          </cell>
          <cell r="AA270">
            <v>-4.4378200000000003</v>
          </cell>
          <cell r="AB270">
            <v>-3.9713120408862874</v>
          </cell>
          <cell r="AC270" t="str">
            <v>J-1,106</v>
          </cell>
          <cell r="AE270">
            <v>10.555999999999999</v>
          </cell>
          <cell r="AF270" t="str">
            <v>20/40</v>
          </cell>
          <cell r="AG270">
            <v>4.2</v>
          </cell>
          <cell r="AH270">
            <v>51.5</v>
          </cell>
          <cell r="AI270">
            <v>250</v>
          </cell>
          <cell r="AJ270">
            <v>3315.3932742366674</v>
          </cell>
          <cell r="AK270">
            <v>1</v>
          </cell>
          <cell r="AL270" t="str">
            <v>1:-4.43782!91.42428</v>
          </cell>
          <cell r="AM270">
            <v>1</v>
          </cell>
          <cell r="AN270">
            <v>-4.4378200000000003</v>
          </cell>
          <cell r="AO270">
            <v>2.9574374270541237</v>
          </cell>
          <cell r="AP270">
            <v>91.424279999999996</v>
          </cell>
          <cell r="AQ270">
            <v>22.47465505530003</v>
          </cell>
          <cell r="AR270">
            <v>5.8701288273887116</v>
          </cell>
          <cell r="AS270">
            <v>8.4009402909831721</v>
          </cell>
          <cell r="AT270">
            <v>0</v>
          </cell>
          <cell r="AU270" t="str">
            <v/>
          </cell>
          <cell r="AV270">
            <v>0</v>
          </cell>
          <cell r="AW270" t="str">
            <v>DAMMAGED formation S =8.4</v>
          </cell>
        </row>
        <row r="271">
          <cell r="C271" t="str">
            <v>Igolskoye!132</v>
          </cell>
          <cell r="D271">
            <v>28</v>
          </cell>
          <cell r="E271">
            <v>132</v>
          </cell>
          <cell r="F271">
            <v>2771.5</v>
          </cell>
          <cell r="G271">
            <v>36706</v>
          </cell>
          <cell r="H271">
            <v>253</v>
          </cell>
          <cell r="I271">
            <v>84</v>
          </cell>
          <cell r="J271">
            <v>25.448879999999999</v>
          </cell>
          <cell r="K271">
            <v>30</v>
          </cell>
          <cell r="L271">
            <v>0.9</v>
          </cell>
          <cell r="M271">
            <v>99.1</v>
          </cell>
          <cell r="N271">
            <v>1276</v>
          </cell>
          <cell r="O271">
            <v>147.595</v>
          </cell>
          <cell r="P271">
            <v>0</v>
          </cell>
          <cell r="R271">
            <v>0.28461647929415113</v>
          </cell>
          <cell r="S271">
            <v>0.28461647929415113</v>
          </cell>
          <cell r="T271">
            <v>35.860152286788555</v>
          </cell>
          <cell r="U271" t="str">
            <v>Old</v>
          </cell>
          <cell r="X271">
            <v>32.21</v>
          </cell>
          <cell r="Y271">
            <v>0.34210000000000002</v>
          </cell>
          <cell r="Z271">
            <v>-3.9090823551120959</v>
          </cell>
          <cell r="AA271">
            <v>-3.90896</v>
          </cell>
          <cell r="AB271">
            <v>-3.7665617363545136</v>
          </cell>
          <cell r="AC271" t="str">
            <v>J-1,106</v>
          </cell>
          <cell r="AE271">
            <v>10.429</v>
          </cell>
          <cell r="AF271" t="str">
            <v>20/40</v>
          </cell>
          <cell r="AG271">
            <v>4.4000000000000004</v>
          </cell>
          <cell r="AH271">
            <v>66.599999999999994</v>
          </cell>
          <cell r="AI271">
            <v>250</v>
          </cell>
          <cell r="AJ271">
            <v>2417.7308484373698</v>
          </cell>
          <cell r="AK271">
            <v>1</v>
          </cell>
          <cell r="AL271" t="str">
            <v>0.15662:-3.90896!35.86015</v>
          </cell>
          <cell r="AM271">
            <v>0.15662000000000001</v>
          </cell>
          <cell r="AN271">
            <v>-3.90896</v>
          </cell>
          <cell r="AO271">
            <v>0.69762416691224993</v>
          </cell>
          <cell r="AP271">
            <v>35.860149999999997</v>
          </cell>
          <cell r="AQ271">
            <v>35.860152286788555</v>
          </cell>
          <cell r="AR271">
            <v>1.2019218846048429</v>
          </cell>
          <cell r="AS271" t="str">
            <v/>
          </cell>
          <cell r="AT271">
            <v>0</v>
          </cell>
          <cell r="AU271" t="str">
            <v/>
          </cell>
          <cell r="AV271">
            <v>0</v>
          </cell>
          <cell r="AW271" t="str">
            <v>Proppant Pack damage=16%</v>
          </cell>
        </row>
        <row r="272">
          <cell r="C272" t="str">
            <v>Igolskoye!375</v>
          </cell>
          <cell r="D272">
            <v>4</v>
          </cell>
          <cell r="E272">
            <v>375</v>
          </cell>
          <cell r="F272">
            <v>2760.25</v>
          </cell>
          <cell r="G272">
            <v>36694</v>
          </cell>
          <cell r="H272">
            <v>207</v>
          </cell>
          <cell r="I272">
            <v>84</v>
          </cell>
          <cell r="J272">
            <v>10.90544</v>
          </cell>
          <cell r="K272">
            <v>13</v>
          </cell>
          <cell r="L272">
            <v>2</v>
          </cell>
          <cell r="M272">
            <v>98</v>
          </cell>
          <cell r="N272">
            <v>903</v>
          </cell>
          <cell r="O272">
            <v>180.1525</v>
          </cell>
          <cell r="P272">
            <v>0</v>
          </cell>
          <cell r="R272">
            <v>0.48421640748673067</v>
          </cell>
          <cell r="S272">
            <v>0.48421640748673067</v>
          </cell>
          <cell r="T272">
            <v>61.00867439334057</v>
          </cell>
          <cell r="U272" t="str">
            <v>Old</v>
          </cell>
          <cell r="X272">
            <v>22</v>
          </cell>
          <cell r="Y272">
            <v>1.1626000000000001</v>
          </cell>
          <cell r="Z272">
            <v>-5.4896237266441661</v>
          </cell>
          <cell r="AA272">
            <v>-4.3236800000000004</v>
          </cell>
          <cell r="AB272">
            <v>-3.7884297483084559</v>
          </cell>
          <cell r="AC272" t="str">
            <v>J-1,107</v>
          </cell>
          <cell r="AE272">
            <v>9.6</v>
          </cell>
          <cell r="AF272" t="str">
            <v>20/40</v>
          </cell>
          <cell r="AG272">
            <v>5.8</v>
          </cell>
          <cell r="AH272">
            <v>76</v>
          </cell>
          <cell r="AI272">
            <v>250</v>
          </cell>
          <cell r="AJ272">
            <v>1479.5233961966385</v>
          </cell>
          <cell r="AK272">
            <v>1</v>
          </cell>
          <cell r="AL272" t="str">
            <v>1:-4.32368!105.90388</v>
          </cell>
          <cell r="AM272">
            <v>1</v>
          </cell>
          <cell r="AN272">
            <v>-4.3236800000000004</v>
          </cell>
          <cell r="AO272">
            <v>1.0661648659665062</v>
          </cell>
          <cell r="AP272">
            <v>105.90388</v>
          </cell>
          <cell r="AQ272">
            <v>61.00867439334057</v>
          </cell>
          <cell r="AR272">
            <v>2.400996626904198</v>
          </cell>
          <cell r="AS272">
            <v>-0.47042649603838083</v>
          </cell>
          <cell r="AT272">
            <v>0</v>
          </cell>
          <cell r="AU272" t="str">
            <v/>
          </cell>
          <cell r="AV272">
            <v>0</v>
          </cell>
          <cell r="AW272" t="str">
            <v>DAMMAGED formation S =-0.5</v>
          </cell>
        </row>
        <row r="273">
          <cell r="C273" t="str">
            <v>Igolskoye!184</v>
          </cell>
          <cell r="D273">
            <v>34</v>
          </cell>
          <cell r="E273">
            <v>184</v>
          </cell>
          <cell r="F273">
            <v>2757.35</v>
          </cell>
          <cell r="G273">
            <v>36703</v>
          </cell>
          <cell r="H273">
            <v>255</v>
          </cell>
          <cell r="I273">
            <v>84</v>
          </cell>
          <cell r="J273">
            <v>34.745040000000003</v>
          </cell>
          <cell r="K273">
            <v>41</v>
          </cell>
          <cell r="L273">
            <v>1</v>
          </cell>
          <cell r="M273">
            <v>99</v>
          </cell>
          <cell r="N273">
            <v>1334</v>
          </cell>
          <cell r="O273">
            <v>141.10149999999999</v>
          </cell>
          <cell r="P273">
            <v>0</v>
          </cell>
          <cell r="R273">
            <v>0.35996962207579553</v>
          </cell>
          <cell r="S273">
            <v>0.35996962207579553</v>
          </cell>
          <cell r="T273">
            <v>45.354244765689579</v>
          </cell>
          <cell r="U273" t="str">
            <v>Old</v>
          </cell>
          <cell r="X273">
            <v>30.64</v>
          </cell>
          <cell r="Y273">
            <v>0.6966</v>
          </cell>
          <cell r="Z273">
            <v>-5.1082242361801224</v>
          </cell>
          <cell r="AA273">
            <v>-4.7741499999999997</v>
          </cell>
          <cell r="AB273">
            <v>-3.9686776863635966</v>
          </cell>
          <cell r="AC273" t="str">
            <v>J-1,120</v>
          </cell>
          <cell r="AE273">
            <v>13.5</v>
          </cell>
          <cell r="AF273" t="str">
            <v>20/40</v>
          </cell>
          <cell r="AG273">
            <v>4.4000000000000004</v>
          </cell>
          <cell r="AH273">
            <v>67</v>
          </cell>
          <cell r="AI273">
            <v>250</v>
          </cell>
          <cell r="AJ273">
            <v>3110.9890271960353</v>
          </cell>
          <cell r="AK273">
            <v>1</v>
          </cell>
          <cell r="AL273" t="str">
            <v>1:-4.77415!53.06186</v>
          </cell>
          <cell r="AM273">
            <v>1</v>
          </cell>
          <cell r="AN273">
            <v>-4.7741499999999997</v>
          </cell>
          <cell r="AO273">
            <v>3.8502939212814797</v>
          </cell>
          <cell r="AP273">
            <v>53.061860000000003</v>
          </cell>
          <cell r="AQ273">
            <v>45.354244765689579</v>
          </cell>
          <cell r="AR273">
            <v>1.935165394855914</v>
          </cell>
          <cell r="AS273">
            <v>-2.6233668388800337</v>
          </cell>
          <cell r="AT273">
            <v>0</v>
          </cell>
          <cell r="AU273" t="str">
            <v/>
          </cell>
          <cell r="AV273">
            <v>0</v>
          </cell>
          <cell r="AW273" t="str">
            <v>Slight DAMMAGED formation S =-2.6</v>
          </cell>
        </row>
        <row r="274">
          <cell r="C274" t="str">
            <v>Igolskoye!321</v>
          </cell>
          <cell r="D274">
            <v>49</v>
          </cell>
          <cell r="E274">
            <v>321</v>
          </cell>
          <cell r="F274">
            <v>2759.1</v>
          </cell>
          <cell r="G274">
            <v>36714</v>
          </cell>
          <cell r="H274">
            <v>231</v>
          </cell>
          <cell r="I274">
            <v>84</v>
          </cell>
          <cell r="J274">
            <v>36.785915200000005</v>
          </cell>
          <cell r="K274">
            <v>43</v>
          </cell>
          <cell r="L274">
            <v>0.06</v>
          </cell>
          <cell r="M274">
            <v>99.94</v>
          </cell>
          <cell r="N274">
            <v>1238</v>
          </cell>
          <cell r="O274">
            <v>149.899</v>
          </cell>
          <cell r="P274">
            <v>0</v>
          </cell>
          <cell r="R274">
            <v>0.53020308010998629</v>
          </cell>
          <cell r="S274">
            <v>0.53020308010998629</v>
          </cell>
          <cell r="T274">
            <v>66.802748887981153</v>
          </cell>
          <cell r="U274" t="str">
            <v>Old</v>
          </cell>
          <cell r="X274">
            <v>13.5</v>
          </cell>
          <cell r="Y274">
            <v>1.3898999999999999</v>
          </cell>
          <cell r="Z274">
            <v>-5.6228687963905717</v>
          </cell>
          <cell r="AA274">
            <v>-4.3556699999999999</v>
          </cell>
          <cell r="AB274">
            <v>-3.8715029924323865</v>
          </cell>
          <cell r="AC274" t="str">
            <v>J-1,100</v>
          </cell>
          <cell r="AE274">
            <v>11.629</v>
          </cell>
          <cell r="AF274" t="str">
            <v>20/40</v>
          </cell>
          <cell r="AG274">
            <v>4.8</v>
          </cell>
          <cell r="AH274">
            <v>70</v>
          </cell>
          <cell r="AI274">
            <v>250</v>
          </cell>
          <cell r="AJ274">
            <v>2351.2309135610767</v>
          </cell>
          <cell r="AK274">
            <v>1</v>
          </cell>
          <cell r="AL274" t="str">
            <v>1:-4.35567!125.13619</v>
          </cell>
          <cell r="AM274">
            <v>1</v>
          </cell>
          <cell r="AN274">
            <v>-4.3556699999999999</v>
          </cell>
          <cell r="AO274">
            <v>1.2884143479531229</v>
          </cell>
          <cell r="AP274">
            <v>125.13619</v>
          </cell>
          <cell r="AQ274">
            <v>66.802748887981153</v>
          </cell>
          <cell r="AR274">
            <v>2.6214454479369502</v>
          </cell>
          <cell r="AS274">
            <v>5.2028408583940866E-2</v>
          </cell>
          <cell r="AT274">
            <v>0</v>
          </cell>
          <cell r="AU274" t="str">
            <v/>
          </cell>
          <cell r="AV274">
            <v>0</v>
          </cell>
          <cell r="AW274" t="str">
            <v>DAMMAGED formation S =0.1</v>
          </cell>
        </row>
        <row r="275">
          <cell r="C275" t="str">
            <v>Igolskoye!150</v>
          </cell>
          <cell r="D275">
            <v>28</v>
          </cell>
          <cell r="E275">
            <v>150</v>
          </cell>
          <cell r="F275">
            <v>2761.55</v>
          </cell>
          <cell r="G275">
            <v>36716</v>
          </cell>
          <cell r="H275">
            <v>225</v>
          </cell>
          <cell r="I275">
            <v>84</v>
          </cell>
          <cell r="J275">
            <v>54.236159999999998</v>
          </cell>
          <cell r="K275">
            <v>64</v>
          </cell>
          <cell r="L275">
            <v>1</v>
          </cell>
          <cell r="M275">
            <v>99</v>
          </cell>
          <cell r="N275">
            <v>1450</v>
          </cell>
          <cell r="O275">
            <v>131.03950000000003</v>
          </cell>
          <cell r="P275">
            <v>0</v>
          </cell>
          <cell r="R275">
            <v>0.68113728641290783</v>
          </cell>
          <cell r="S275">
            <v>0.68113728641290783</v>
          </cell>
          <cell r="T275">
            <v>85.81965063847494</v>
          </cell>
          <cell r="U275" t="str">
            <v>Old</v>
          </cell>
          <cell r="X275">
            <v>31.09</v>
          </cell>
          <cell r="Y275">
            <v>1.1243000000000001</v>
          </cell>
          <cell r="Z275">
            <v>-4.7693470634899287</v>
          </cell>
          <cell r="AA275">
            <v>-4.3860599999999996</v>
          </cell>
          <cell r="AB275">
            <v>-3.4746745651362971</v>
          </cell>
          <cell r="AC275" t="str">
            <v>J-1,107</v>
          </cell>
          <cell r="AE275">
            <v>11.548999999999999</v>
          </cell>
          <cell r="AF275" t="str">
            <v>20/40</v>
          </cell>
          <cell r="AG275">
            <v>4.4000000000000004</v>
          </cell>
          <cell r="AH275">
            <v>44.5</v>
          </cell>
          <cell r="AI275">
            <v>250</v>
          </cell>
          <cell r="AJ275">
            <v>4007.0419016742899</v>
          </cell>
          <cell r="AK275">
            <v>1</v>
          </cell>
          <cell r="AL275" t="str">
            <v>1:-4.38606!100.09206</v>
          </cell>
          <cell r="AM275">
            <v>1</v>
          </cell>
          <cell r="AN275">
            <v>-4.3860599999999996</v>
          </cell>
          <cell r="AO275">
            <v>3.9583748790451994</v>
          </cell>
          <cell r="AP275">
            <v>100.09206</v>
          </cell>
          <cell r="AQ275">
            <v>85.81965063847494</v>
          </cell>
          <cell r="AR275">
            <v>1.6506220427212863</v>
          </cell>
          <cell r="AS275">
            <v>-2.6371970508104372</v>
          </cell>
          <cell r="AT275">
            <v>0</v>
          </cell>
          <cell r="AU275" t="str">
            <v/>
          </cell>
          <cell r="AV275">
            <v>0</v>
          </cell>
          <cell r="AW275" t="str">
            <v>Slight DAMMAGED formation S =-2.6</v>
          </cell>
        </row>
        <row r="276">
          <cell r="C276" t="str">
            <v>Igolskoye!137</v>
          </cell>
          <cell r="D276">
            <v>24</v>
          </cell>
          <cell r="E276">
            <v>137</v>
          </cell>
          <cell r="F276">
            <v>2757.1</v>
          </cell>
          <cell r="G276">
            <v>36718</v>
          </cell>
          <cell r="H276">
            <v>231</v>
          </cell>
          <cell r="I276">
            <v>84</v>
          </cell>
          <cell r="J276">
            <v>56.778479999999995</v>
          </cell>
          <cell r="K276">
            <v>67</v>
          </cell>
          <cell r="L276">
            <v>1</v>
          </cell>
          <cell r="M276">
            <v>99</v>
          </cell>
          <cell r="N276">
            <v>1500</v>
          </cell>
          <cell r="O276">
            <v>126.13899999999998</v>
          </cell>
          <cell r="P276">
            <v>0</v>
          </cell>
          <cell r="R276">
            <v>0.6389410743746482</v>
          </cell>
          <cell r="S276">
            <v>0.6389410743746482</v>
          </cell>
          <cell r="T276">
            <v>80.503153879853457</v>
          </cell>
          <cell r="U276" t="str">
            <v>Old</v>
          </cell>
          <cell r="X276">
            <v>30.64</v>
          </cell>
          <cell r="Y276">
            <v>5.9489000000000001</v>
          </cell>
          <cell r="Z276">
            <v>-6.6654577371592145</v>
          </cell>
          <cell r="AA276">
            <v>-3.0851899999999999</v>
          </cell>
          <cell r="AB276">
            <v>-3.3983081137441618</v>
          </cell>
          <cell r="AC276" t="str">
            <v>J-1,105</v>
          </cell>
          <cell r="AE276">
            <v>10.845000000000001</v>
          </cell>
          <cell r="AF276" t="str">
            <v>20/40</v>
          </cell>
          <cell r="AG276">
            <v>3.8</v>
          </cell>
          <cell r="AH276">
            <v>52.7</v>
          </cell>
          <cell r="AI276">
            <v>250</v>
          </cell>
          <cell r="AJ276">
            <v>3678.9809117712193</v>
          </cell>
          <cell r="AK276">
            <v>1</v>
          </cell>
          <cell r="AL276" t="str">
            <v>1:-3.08519!785.91499</v>
          </cell>
          <cell r="AM276">
            <v>1</v>
          </cell>
          <cell r="AN276">
            <v>-3.0851899999999999</v>
          </cell>
          <cell r="AO276">
            <v>0.33753976495674326</v>
          </cell>
          <cell r="AP276">
            <v>785.91498999999999</v>
          </cell>
          <cell r="AQ276">
            <v>80.503153879853457</v>
          </cell>
          <cell r="AR276">
            <v>9.3105658703399126</v>
          </cell>
          <cell r="AS276">
            <v>30.064460625522521</v>
          </cell>
          <cell r="AT276">
            <v>0</v>
          </cell>
          <cell r="AU276" t="str">
            <v/>
          </cell>
          <cell r="AV276">
            <v>0</v>
          </cell>
          <cell r="AW276" t="str">
            <v>DAMMAGED formation S =30.1</v>
          </cell>
        </row>
        <row r="277">
          <cell r="C277" t="str">
            <v>Igolskoye!162</v>
          </cell>
          <cell r="D277">
            <v>34</v>
          </cell>
          <cell r="E277">
            <v>162</v>
          </cell>
          <cell r="F277">
            <v>2770.55</v>
          </cell>
          <cell r="G277">
            <v>36751</v>
          </cell>
          <cell r="H277">
            <v>217</v>
          </cell>
          <cell r="I277">
            <v>84</v>
          </cell>
          <cell r="J277">
            <v>15.330959999999999</v>
          </cell>
          <cell r="K277">
            <v>18</v>
          </cell>
          <cell r="L277">
            <v>0.5</v>
          </cell>
          <cell r="M277">
            <v>99.5</v>
          </cell>
          <cell r="N277">
            <v>1246</v>
          </cell>
          <cell r="O277">
            <v>150.20950000000002</v>
          </cell>
          <cell r="P277">
            <v>0</v>
          </cell>
          <cell r="R277">
            <v>0.26949940485548102</v>
          </cell>
          <cell r="S277">
            <v>0.26949940485548102</v>
          </cell>
          <cell r="T277">
            <v>33.955481858548282</v>
          </cell>
          <cell r="U277" t="str">
            <v>Old</v>
          </cell>
          <cell r="X277">
            <v>30</v>
          </cell>
          <cell r="Y277">
            <v>1.0286999999999999</v>
          </cell>
          <cell r="Z277">
            <v>-6.0774231844479942</v>
          </cell>
          <cell r="AA277">
            <v>-4.5838400000000004</v>
          </cell>
          <cell r="AB277">
            <v>-4.0775193079722669</v>
          </cell>
          <cell r="AC277" t="str">
            <v>J-1,103</v>
          </cell>
          <cell r="AE277">
            <v>12.879</v>
          </cell>
          <cell r="AF277" t="str">
            <v>20/40</v>
          </cell>
          <cell r="AG277">
            <v>5.6</v>
          </cell>
          <cell r="AH277">
            <v>62.5</v>
          </cell>
          <cell r="AI277">
            <v>250</v>
          </cell>
          <cell r="AJ277">
            <v>2499.8059006211179</v>
          </cell>
          <cell r="AK277">
            <v>1</v>
          </cell>
          <cell r="AL277" t="str">
            <v>1:-4.58384!84.84265</v>
          </cell>
          <cell r="AM277">
            <v>1</v>
          </cell>
          <cell r="AN277">
            <v>-4.5838400000000004</v>
          </cell>
          <cell r="AO277">
            <v>2.6399765765879795</v>
          </cell>
          <cell r="AP277">
            <v>84.842650000000006</v>
          </cell>
          <cell r="AQ277">
            <v>33.955481858548282</v>
          </cell>
          <cell r="AR277">
            <v>3.8170760194457127</v>
          </cell>
          <cell r="AS277">
            <v>2.4312596366628307</v>
          </cell>
          <cell r="AT277">
            <v>0</v>
          </cell>
          <cell r="AU277" t="str">
            <v/>
          </cell>
          <cell r="AV277">
            <v>0</v>
          </cell>
          <cell r="AW277" t="str">
            <v>DAMMAGED formation S =2.4</v>
          </cell>
        </row>
        <row r="278">
          <cell r="C278" t="str">
            <v>Igolskoye!195</v>
          </cell>
          <cell r="D278">
            <v>35</v>
          </cell>
          <cell r="E278">
            <v>195</v>
          </cell>
          <cell r="F278">
            <v>2766.25</v>
          </cell>
          <cell r="G278">
            <v>36751</v>
          </cell>
          <cell r="H278">
            <v>240</v>
          </cell>
          <cell r="I278">
            <v>84</v>
          </cell>
          <cell r="J278">
            <v>52.54128</v>
          </cell>
          <cell r="K278">
            <v>62</v>
          </cell>
          <cell r="L278">
            <v>1</v>
          </cell>
          <cell r="M278">
            <v>99</v>
          </cell>
          <cell r="N278">
            <v>2200</v>
          </cell>
          <cell r="O278">
            <v>63.962499999999999</v>
          </cell>
          <cell r="P278">
            <v>0</v>
          </cell>
          <cell r="R278">
            <v>0.35649977357725604</v>
          </cell>
          <cell r="S278">
            <v>0.35649977357725604</v>
          </cell>
          <cell r="T278">
            <v>44.917062435705404</v>
          </cell>
          <cell r="U278" t="str">
            <v>Old</v>
          </cell>
          <cell r="X278">
            <v>30</v>
          </cell>
          <cell r="Y278">
            <v>0.92800000000000005</v>
          </cell>
          <cell r="Z278">
            <v>-5.6126327579871074</v>
          </cell>
          <cell r="AA278">
            <v>-4.5892999999999997</v>
          </cell>
          <cell r="AB278">
            <v>-3.9987549969353795</v>
          </cell>
          <cell r="AC278" t="str">
            <v>J-1,106</v>
          </cell>
          <cell r="AE278">
            <v>11.209</v>
          </cell>
          <cell r="AF278" t="str">
            <v>20/40</v>
          </cell>
          <cell r="AG278">
            <v>6</v>
          </cell>
          <cell r="AH278">
            <v>70.8</v>
          </cell>
          <cell r="AI278">
            <v>250</v>
          </cell>
          <cell r="AJ278">
            <v>1792.5635081470564</v>
          </cell>
          <cell r="AK278">
            <v>1</v>
          </cell>
          <cell r="AL278" t="str">
            <v>1:-4.58930!76.36967</v>
          </cell>
          <cell r="AM278">
            <v>1</v>
          </cell>
          <cell r="AN278">
            <v>-4.5892999999999997</v>
          </cell>
          <cell r="AO278">
            <v>1.9891687591078719</v>
          </cell>
          <cell r="AP278">
            <v>76.369669999999999</v>
          </cell>
          <cell r="AQ278">
            <v>44.917062435705404</v>
          </cell>
          <cell r="AR278">
            <v>2.6030908492369824</v>
          </cell>
          <cell r="AS278">
            <v>-0.60602640731818092</v>
          </cell>
          <cell r="AT278">
            <v>0</v>
          </cell>
          <cell r="AU278" t="str">
            <v/>
          </cell>
          <cell r="AV278">
            <v>0</v>
          </cell>
          <cell r="AW278" t="str">
            <v>DAMMAGED formation S =-0.6</v>
          </cell>
        </row>
        <row r="279">
          <cell r="C279" t="str">
            <v>Igolskoye!288</v>
          </cell>
          <cell r="D279">
            <v>3</v>
          </cell>
          <cell r="E279">
            <v>288</v>
          </cell>
          <cell r="F279">
            <v>2778.4</v>
          </cell>
          <cell r="G279">
            <v>36744</v>
          </cell>
          <cell r="H279">
            <v>213</v>
          </cell>
          <cell r="I279">
            <v>84</v>
          </cell>
          <cell r="J279">
            <v>12.583200000000001</v>
          </cell>
          <cell r="K279">
            <v>15</v>
          </cell>
          <cell r="L279">
            <v>2</v>
          </cell>
          <cell r="M279">
            <v>98</v>
          </cell>
          <cell r="N279">
            <v>1091</v>
          </cell>
          <cell r="O279">
            <v>164.86600000000001</v>
          </cell>
          <cell r="P279">
            <v>0</v>
          </cell>
          <cell r="R279">
            <v>0.31163003282503021</v>
          </cell>
          <cell r="S279">
            <v>0.31163003282503021</v>
          </cell>
          <cell r="T279">
            <v>39.263715375711016</v>
          </cell>
          <cell r="U279" t="str">
            <v>Old</v>
          </cell>
          <cell r="X279">
            <v>23.96</v>
          </cell>
          <cell r="Y279">
            <v>0.21690000000000001</v>
          </cell>
          <cell r="Z279">
            <v>-1.6083998483469353</v>
          </cell>
          <cell r="AA279">
            <v>-1.6025400000000001</v>
          </cell>
          <cell r="AB279">
            <v>-4.034980701280368</v>
          </cell>
          <cell r="AC279" t="str">
            <v>J-1,5</v>
          </cell>
          <cell r="AE279">
            <v>12.666</v>
          </cell>
          <cell r="AF279" t="str">
            <v>20/40</v>
          </cell>
          <cell r="AG279">
            <v>4.4000000000000004</v>
          </cell>
          <cell r="AH279">
            <v>86.8</v>
          </cell>
          <cell r="AI279">
            <v>250</v>
          </cell>
          <cell r="AJ279">
            <v>2252.9900411650056</v>
          </cell>
          <cell r="AK279">
            <v>1</v>
          </cell>
          <cell r="AL279" t="str">
            <v>0.01462:-1.60254!39.26372</v>
          </cell>
          <cell r="AM279">
            <v>1.4619999999999999E-2</v>
          </cell>
          <cell r="AN279">
            <v>-1.6025400000000001</v>
          </cell>
          <cell r="AO279">
            <v>4.2525374994594183E-2</v>
          </cell>
          <cell r="AP279">
            <v>39.263719999999999</v>
          </cell>
          <cell r="AQ279">
            <v>39.263715375711016</v>
          </cell>
          <cell r="AR279">
            <v>0.69527222222853091</v>
          </cell>
          <cell r="AS279">
            <v>-3.2698594197129758</v>
          </cell>
          <cell r="AT279">
            <v>0</v>
          </cell>
          <cell r="AU279" t="str">
            <v/>
          </cell>
          <cell r="AV279">
            <v>0</v>
          </cell>
          <cell r="AW279" t="str">
            <v>Proppant Pack damage=1%</v>
          </cell>
        </row>
        <row r="280">
          <cell r="C280" t="str">
            <v>Igolskoye!1056</v>
          </cell>
          <cell r="D280">
            <v>42</v>
          </cell>
          <cell r="E280">
            <v>1056</v>
          </cell>
          <cell r="F280">
            <v>2763.4</v>
          </cell>
          <cell r="G280">
            <v>36744</v>
          </cell>
          <cell r="H280">
            <v>256</v>
          </cell>
          <cell r="I280">
            <v>84</v>
          </cell>
          <cell r="J280">
            <v>14.406480000000002</v>
          </cell>
          <cell r="K280">
            <v>17</v>
          </cell>
          <cell r="L280">
            <v>1</v>
          </cell>
          <cell r="M280">
            <v>99</v>
          </cell>
          <cell r="N280">
            <v>1100</v>
          </cell>
          <cell r="O280">
            <v>162.70599999999999</v>
          </cell>
          <cell r="P280">
            <v>0</v>
          </cell>
          <cell r="R280">
            <v>0.18221964970952043</v>
          </cell>
          <cell r="S280">
            <v>0.18221964970952043</v>
          </cell>
          <cell r="T280">
            <v>22.958700088041429</v>
          </cell>
          <cell r="U280" t="str">
            <v>Old</v>
          </cell>
          <cell r="X280">
            <v>26</v>
          </cell>
          <cell r="Y280">
            <v>0.85640000000000005</v>
          </cell>
          <cell r="Z280">
            <v>-6.2646141257250783</v>
          </cell>
          <cell r="AA280">
            <v>-4.6921999999999997</v>
          </cell>
          <cell r="AB280">
            <v>-4.0407893484287456</v>
          </cell>
          <cell r="AC280" t="str">
            <v>J-1,111</v>
          </cell>
          <cell r="AE280">
            <v>12.292999999999999</v>
          </cell>
          <cell r="AF280" t="str">
            <v>20/40</v>
          </cell>
          <cell r="AG280">
            <v>3.8</v>
          </cell>
          <cell r="AH280">
            <v>78.5</v>
          </cell>
          <cell r="AI280">
            <v>250</v>
          </cell>
          <cell r="AJ280">
            <v>2799.6053724729991</v>
          </cell>
          <cell r="AK280">
            <v>1</v>
          </cell>
          <cell r="AL280" t="str">
            <v>1:-4.69220!67.55854</v>
          </cell>
          <cell r="AM280">
            <v>1</v>
          </cell>
          <cell r="AN280">
            <v>-4.6921999999999997</v>
          </cell>
          <cell r="AO280">
            <v>2.0059980320077546</v>
          </cell>
          <cell r="AP280">
            <v>67.558539999999994</v>
          </cell>
          <cell r="AQ280">
            <v>22.958700088041429</v>
          </cell>
          <cell r="AR280">
            <v>4.6998179925107157</v>
          </cell>
          <cell r="AS280">
            <v>4.1201967263559842</v>
          </cell>
          <cell r="AT280">
            <v>0</v>
          </cell>
          <cell r="AU280" t="str">
            <v/>
          </cell>
          <cell r="AV280">
            <v>0</v>
          </cell>
          <cell r="AW280" t="str">
            <v>DAMMAGED formation S =4.1</v>
          </cell>
        </row>
        <row r="281">
          <cell r="C281" t="str">
            <v>Igolskoye!215</v>
          </cell>
          <cell r="D281">
            <v>35</v>
          </cell>
          <cell r="E281">
            <v>215</v>
          </cell>
          <cell r="F281">
            <v>2749.85</v>
          </cell>
          <cell r="G281">
            <v>36751</v>
          </cell>
          <cell r="H281">
            <v>251</v>
          </cell>
          <cell r="I281">
            <v>84</v>
          </cell>
          <cell r="J281">
            <v>22.649760000000001</v>
          </cell>
          <cell r="K281">
            <v>27</v>
          </cell>
          <cell r="L281">
            <v>2</v>
          </cell>
          <cell r="M281">
            <v>98</v>
          </cell>
          <cell r="N281">
            <v>1583</v>
          </cell>
          <cell r="O281">
            <v>118.01649999999999</v>
          </cell>
          <cell r="P281">
            <v>0</v>
          </cell>
          <cell r="R281">
            <v>0.20303270706516224</v>
          </cell>
          <cell r="S281">
            <v>0.20303270706516224</v>
          </cell>
          <cell r="T281">
            <v>25.581033862171275</v>
          </cell>
          <cell r="U281" t="str">
            <v>Old</v>
          </cell>
          <cell r="X281">
            <v>25.14</v>
          </cell>
          <cell r="Y281">
            <v>0.47770000000000001</v>
          </cell>
          <cell r="Z281">
            <v>-5.4571856155991219</v>
          </cell>
          <cell r="AA281">
            <v>-4.9907599999999999</v>
          </cell>
          <cell r="AB281">
            <v>-3.9919858932448697</v>
          </cell>
          <cell r="AC281" t="str">
            <v>J-1,105</v>
          </cell>
          <cell r="AE281">
            <v>11.923</v>
          </cell>
          <cell r="AF281" t="str">
            <v>20/40</v>
          </cell>
          <cell r="AG281">
            <v>3.7</v>
          </cell>
          <cell r="AH281">
            <v>137.80000000000001</v>
          </cell>
          <cell r="AI281">
            <v>250</v>
          </cell>
          <cell r="AJ281">
            <v>1588.6447515856864</v>
          </cell>
          <cell r="AK281">
            <v>1</v>
          </cell>
          <cell r="AL281" t="str">
            <v>1:-4.99076!32.96056</v>
          </cell>
          <cell r="AM281">
            <v>1</v>
          </cell>
          <cell r="AN281">
            <v>-4.9907599999999999</v>
          </cell>
          <cell r="AO281">
            <v>1.294150299143606</v>
          </cell>
          <cell r="AP281">
            <v>32.960560000000001</v>
          </cell>
          <cell r="AQ281">
            <v>25.581033862171275</v>
          </cell>
          <cell r="AR281">
            <v>2.3528235087096898</v>
          </cell>
          <cell r="AS281">
            <v>-2.1724417091475781</v>
          </cell>
          <cell r="AT281">
            <v>0</v>
          </cell>
          <cell r="AU281" t="str">
            <v/>
          </cell>
          <cell r="AV281">
            <v>0</v>
          </cell>
          <cell r="AW281" t="str">
            <v>Slight DAMMAGED formation S =-2.2</v>
          </cell>
        </row>
        <row r="282">
          <cell r="C282" t="str">
            <v>Igolskoye!362</v>
          </cell>
          <cell r="D282">
            <v>9</v>
          </cell>
          <cell r="E282">
            <v>362</v>
          </cell>
          <cell r="F282">
            <v>2778.1</v>
          </cell>
          <cell r="G282">
            <v>36759</v>
          </cell>
          <cell r="H282">
            <v>215</v>
          </cell>
          <cell r="I282">
            <v>84</v>
          </cell>
          <cell r="J282">
            <v>5.0332799999999995</v>
          </cell>
          <cell r="K282">
            <v>6</v>
          </cell>
          <cell r="L282">
            <v>2</v>
          </cell>
          <cell r="M282">
            <v>98</v>
          </cell>
          <cell r="N282">
            <v>960</v>
          </cell>
          <cell r="O282">
            <v>176.62899999999999</v>
          </cell>
          <cell r="P282">
            <v>0</v>
          </cell>
          <cell r="R282">
            <v>0.15636809048500167</v>
          </cell>
          <cell r="S282">
            <v>0.15636809048500167</v>
          </cell>
          <cell r="T282">
            <v>19.701542059310139</v>
          </cell>
          <cell r="U282" t="str">
            <v>Old</v>
          </cell>
          <cell r="X282">
            <v>26.25</v>
          </cell>
          <cell r="Y282">
            <v>0.90920000000000001</v>
          </cell>
          <cell r="Z282">
            <v>-6.4197858667221039</v>
          </cell>
          <cell r="AA282">
            <v>-4.6469300000000002</v>
          </cell>
          <cell r="AB282">
            <v>-4.1988884133876301</v>
          </cell>
          <cell r="AC282" t="str">
            <v>J-1,5</v>
          </cell>
          <cell r="AE282">
            <v>12.493</v>
          </cell>
          <cell r="AF282" t="str">
            <v>20/40</v>
          </cell>
          <cell r="AG282">
            <v>5.9</v>
          </cell>
          <cell r="AH282">
            <v>67.8</v>
          </cell>
          <cell r="AI282">
            <v>250</v>
          </cell>
          <cell r="AJ282">
            <v>2121.667014475363</v>
          </cell>
          <cell r="AK282">
            <v>1</v>
          </cell>
          <cell r="AL282" t="str">
            <v>1:-4.64693!73.08714</v>
          </cell>
          <cell r="AM282">
            <v>1</v>
          </cell>
          <cell r="AN282">
            <v>-4.6469300000000002</v>
          </cell>
          <cell r="AO282">
            <v>2.5261467406262419</v>
          </cell>
          <cell r="AP282">
            <v>73.087140000000005</v>
          </cell>
          <cell r="AQ282">
            <v>19.701542059310139</v>
          </cell>
          <cell r="AR282">
            <v>5.8144946019946318</v>
          </cell>
          <cell r="AS282">
            <v>7.0384069326823608</v>
          </cell>
          <cell r="AT282">
            <v>0</v>
          </cell>
          <cell r="AU282" t="str">
            <v/>
          </cell>
          <cell r="AV282">
            <v>0</v>
          </cell>
          <cell r="AW282" t="str">
            <v>DAMMAGED formation S =7.0</v>
          </cell>
        </row>
        <row r="283">
          <cell r="C283" t="str">
            <v>Igolskoye!178</v>
          </cell>
          <cell r="D283">
            <v>24</v>
          </cell>
          <cell r="E283">
            <v>178</v>
          </cell>
          <cell r="F283">
            <v>2746.3</v>
          </cell>
          <cell r="G283">
            <v>36756</v>
          </cell>
          <cell r="H283">
            <v>249</v>
          </cell>
          <cell r="I283">
            <v>84</v>
          </cell>
          <cell r="J283">
            <v>42.372</v>
          </cell>
          <cell r="K283">
            <v>50</v>
          </cell>
          <cell r="L283">
            <v>1</v>
          </cell>
          <cell r="M283">
            <v>99</v>
          </cell>
          <cell r="N283">
            <v>1900</v>
          </cell>
          <cell r="O283">
            <v>89.167000000000016</v>
          </cell>
          <cell r="P283">
            <v>0</v>
          </cell>
          <cell r="R283">
            <v>0.31282651267260209</v>
          </cell>
          <cell r="S283">
            <v>0.31282651267260209</v>
          </cell>
          <cell r="T283">
            <v>39.414465429426841</v>
          </cell>
          <cell r="U283" t="str">
            <v>Old</v>
          </cell>
          <cell r="X283">
            <v>29.19</v>
          </cell>
          <cell r="Y283">
            <v>1.0807</v>
          </cell>
          <cell r="Z283">
            <v>-5.9728613299042088</v>
          </cell>
          <cell r="AA283">
            <v>-4.5134400000000001</v>
          </cell>
          <cell r="AB283">
            <v>-3.605996290426484</v>
          </cell>
          <cell r="AC283" t="str">
            <v>J-1,107</v>
          </cell>
          <cell r="AE283">
            <v>12.172000000000001</v>
          </cell>
          <cell r="AF283" t="str">
            <v>20/40</v>
          </cell>
          <cell r="AG283">
            <v>3.2</v>
          </cell>
          <cell r="AH283">
            <v>57.2</v>
          </cell>
          <cell r="AI283">
            <v>250</v>
          </cell>
          <cell r="AJ283">
            <v>4517.6036599270292</v>
          </cell>
          <cell r="AK283">
            <v>1</v>
          </cell>
          <cell r="AL283" t="str">
            <v>1:-4.51344!91.65119</v>
          </cell>
          <cell r="AM283">
            <v>1</v>
          </cell>
          <cell r="AN283">
            <v>-4.5134400000000001</v>
          </cell>
          <cell r="AO283">
            <v>2.7575536322444871</v>
          </cell>
          <cell r="AP283">
            <v>91.65119</v>
          </cell>
          <cell r="AQ283">
            <v>39.414465429426841</v>
          </cell>
          <cell r="AR283">
            <v>3.4546294120294045</v>
          </cell>
          <cell r="AS283">
            <v>1.7718988268671376</v>
          </cell>
          <cell r="AT283">
            <v>0</v>
          </cell>
          <cell r="AU283" t="str">
            <v/>
          </cell>
          <cell r="AV283">
            <v>0</v>
          </cell>
          <cell r="AW283" t="str">
            <v>DAMMAGED formation S =1.8</v>
          </cell>
        </row>
        <row r="284">
          <cell r="C284" t="str">
            <v>Igolskoye!209</v>
          </cell>
          <cell r="D284">
            <v>30</v>
          </cell>
          <cell r="E284">
            <v>209</v>
          </cell>
          <cell r="F284">
            <v>2747.3</v>
          </cell>
          <cell r="G284">
            <v>36760</v>
          </cell>
          <cell r="H284">
            <v>238</v>
          </cell>
          <cell r="I284">
            <v>84</v>
          </cell>
          <cell r="J284">
            <v>11.86416</v>
          </cell>
          <cell r="K284">
            <v>14</v>
          </cell>
          <cell r="L284">
            <v>1</v>
          </cell>
          <cell r="M284">
            <v>99</v>
          </cell>
          <cell r="N284">
            <v>1051</v>
          </cell>
          <cell r="O284">
            <v>165.667</v>
          </cell>
          <cell r="P284">
            <v>0</v>
          </cell>
          <cell r="R284">
            <v>0.19354927902893562</v>
          </cell>
          <cell r="S284">
            <v>0.19354927902893562</v>
          </cell>
          <cell r="T284">
            <v>24.386172712798341</v>
          </cell>
          <cell r="U284" t="str">
            <v>Old</v>
          </cell>
          <cell r="X284">
            <v>30</v>
          </cell>
          <cell r="Y284">
            <v>1.1229</v>
          </cell>
          <cell r="Z284">
            <v>-6.418335364057997</v>
          </cell>
          <cell r="AA284">
            <v>-4.5095000000000001</v>
          </cell>
          <cell r="AB284">
            <v>-4.0140174795201329</v>
          </cell>
          <cell r="AC284" t="str">
            <v>J-1,106</v>
          </cell>
          <cell r="AE284">
            <v>12.128</v>
          </cell>
          <cell r="AF284" t="str">
            <v>20/40</v>
          </cell>
          <cell r="AG284">
            <v>2.6</v>
          </cell>
          <cell r="AH284">
            <v>61.6</v>
          </cell>
          <cell r="AI284">
            <v>250</v>
          </cell>
          <cell r="AJ284">
            <v>5144.3122095296012</v>
          </cell>
          <cell r="AK284">
            <v>1</v>
          </cell>
          <cell r="AL284" t="str">
            <v>1:-4.50950!95.37666</v>
          </cell>
          <cell r="AM284">
            <v>1</v>
          </cell>
          <cell r="AN284">
            <v>-4.5095000000000001</v>
          </cell>
          <cell r="AO284">
            <v>2.2765534124578677</v>
          </cell>
          <cell r="AP284">
            <v>95.376660000000001</v>
          </cell>
          <cell r="AQ284">
            <v>24.386172712798341</v>
          </cell>
          <cell r="AR284">
            <v>5.8016259978999267</v>
          </cell>
          <cell r="AS284">
            <v>7.8044907985381178</v>
          </cell>
          <cell r="AT284">
            <v>0</v>
          </cell>
          <cell r="AU284" t="str">
            <v/>
          </cell>
          <cell r="AV284">
            <v>0</v>
          </cell>
          <cell r="AW284" t="str">
            <v>DAMMAGED formation S =7.8</v>
          </cell>
        </row>
        <row r="285">
          <cell r="C285" t="str">
            <v>Igolskoye!361</v>
          </cell>
          <cell r="D285">
            <v>9</v>
          </cell>
          <cell r="E285">
            <v>361</v>
          </cell>
          <cell r="F285">
            <v>2768.65</v>
          </cell>
          <cell r="G285">
            <v>36764</v>
          </cell>
          <cell r="H285">
            <v>249</v>
          </cell>
          <cell r="I285">
            <v>84</v>
          </cell>
          <cell r="J285">
            <v>21.827999999999999</v>
          </cell>
          <cell r="K285">
            <v>30</v>
          </cell>
          <cell r="L285">
            <v>15</v>
          </cell>
          <cell r="M285">
            <v>85</v>
          </cell>
          <cell r="N285">
            <v>2051</v>
          </cell>
          <cell r="O285">
            <v>77.58850000000001</v>
          </cell>
          <cell r="P285">
            <v>0</v>
          </cell>
          <cell r="R285">
            <v>0.17523978553257183</v>
          </cell>
          <cell r="S285">
            <v>0.17523978553257183</v>
          </cell>
          <cell r="T285">
            <v>22.07927457850235</v>
          </cell>
          <cell r="U285" t="str">
            <v>Old</v>
          </cell>
          <cell r="X285">
            <v>27.43</v>
          </cell>
          <cell r="Y285">
            <v>0.44840000000000002</v>
          </cell>
          <cell r="Z285">
            <v>-5.5873270905983308</v>
          </cell>
          <cell r="AA285">
            <v>-5.2282900000000003</v>
          </cell>
          <cell r="AB285">
            <v>-4.3486580793172589</v>
          </cell>
          <cell r="AC285" t="str">
            <v>J-1,107</v>
          </cell>
          <cell r="AE285">
            <v>15.025</v>
          </cell>
          <cell r="AF285" t="str">
            <v>20/40</v>
          </cell>
          <cell r="AG285">
            <v>6.4</v>
          </cell>
          <cell r="AH285">
            <v>107.7</v>
          </cell>
          <cell r="AI285">
            <v>250</v>
          </cell>
          <cell r="AJ285">
            <v>1480.8497398671832</v>
          </cell>
          <cell r="AK285">
            <v>1</v>
          </cell>
          <cell r="AL285" t="str">
            <v>0.99414:-5.22829!22.07927</v>
          </cell>
          <cell r="AM285">
            <v>0.99414000000000002</v>
          </cell>
          <cell r="AN285">
            <v>-5.2282900000000003</v>
          </cell>
          <cell r="AO285">
            <v>3.9622155863785653</v>
          </cell>
          <cell r="AP285">
            <v>22.079270000000001</v>
          </cell>
          <cell r="AQ285">
            <v>22.07927457850235</v>
          </cell>
          <cell r="AR285">
            <v>2.0610449705863143</v>
          </cell>
          <cell r="AS285" t="str">
            <v/>
          </cell>
          <cell r="AT285">
            <v>0</v>
          </cell>
          <cell r="AU285" t="str">
            <v/>
          </cell>
          <cell r="AV285">
            <v>0</v>
          </cell>
          <cell r="AW285" t="str">
            <v>Proppant Pack damage=99%</v>
          </cell>
        </row>
        <row r="286">
          <cell r="C286" t="str">
            <v>Igolskoye!189</v>
          </cell>
          <cell r="D286">
            <v>47</v>
          </cell>
          <cell r="E286">
            <v>189</v>
          </cell>
          <cell r="F286">
            <v>2768</v>
          </cell>
          <cell r="G286">
            <v>36763</v>
          </cell>
          <cell r="H286">
            <v>211</v>
          </cell>
          <cell r="I286">
            <v>84</v>
          </cell>
          <cell r="J286">
            <v>41.524560000000001</v>
          </cell>
          <cell r="K286">
            <v>49</v>
          </cell>
          <cell r="L286">
            <v>1</v>
          </cell>
          <cell r="M286">
            <v>99</v>
          </cell>
          <cell r="N286">
            <v>1816</v>
          </cell>
          <cell r="O286">
            <v>98.68</v>
          </cell>
          <cell r="P286">
            <v>0</v>
          </cell>
          <cell r="R286">
            <v>0.43625356125356124</v>
          </cell>
          <cell r="S286">
            <v>0.43625356125356124</v>
          </cell>
          <cell r="T286">
            <v>54.965612606142692</v>
          </cell>
          <cell r="U286" t="str">
            <v>Old</v>
          </cell>
          <cell r="X286">
            <v>31</v>
          </cell>
          <cell r="Y286">
            <v>1.1437999999999999</v>
          </cell>
          <cell r="Z286">
            <v>-5.6231020061343759</v>
          </cell>
          <cell r="AA286">
            <v>-4.7606000000000002</v>
          </cell>
          <cell r="AB286">
            <v>-4.1242104410333686</v>
          </cell>
          <cell r="AC286" t="str">
            <v>J-1,107</v>
          </cell>
          <cell r="AE286">
            <v>13.273999999999999</v>
          </cell>
          <cell r="AF286" t="str">
            <v>16/30</v>
          </cell>
          <cell r="AG286">
            <v>4.2</v>
          </cell>
          <cell r="AH286">
            <v>144.5</v>
          </cell>
          <cell r="AI286">
            <v>420</v>
          </cell>
          <cell r="AJ286">
            <v>2496.2389047690685</v>
          </cell>
          <cell r="AK286">
            <v>1</v>
          </cell>
          <cell r="AL286" t="str">
            <v>1:-4.76060!87.63966</v>
          </cell>
          <cell r="AM286">
            <v>1</v>
          </cell>
          <cell r="AN286">
            <v>-4.7606000000000002</v>
          </cell>
          <cell r="AO286">
            <v>0.8278790770144252</v>
          </cell>
          <cell r="AP286">
            <v>87.639660000000006</v>
          </cell>
          <cell r="AQ286">
            <v>54.965612606142692</v>
          </cell>
          <cell r="AR286">
            <v>2.6218751170973538</v>
          </cell>
          <cell r="AS286">
            <v>-1.0084794802440458</v>
          </cell>
          <cell r="AT286">
            <v>0</v>
          </cell>
          <cell r="AU286" t="str">
            <v/>
          </cell>
          <cell r="AV286">
            <v>0</v>
          </cell>
          <cell r="AW286" t="str">
            <v>DAMMAGED formation S =-1.0</v>
          </cell>
        </row>
        <row r="287">
          <cell r="C287" t="str">
            <v>Igolskoye!217</v>
          </cell>
          <cell r="D287">
            <v>42</v>
          </cell>
          <cell r="E287">
            <v>217</v>
          </cell>
          <cell r="F287">
            <v>2761.1</v>
          </cell>
          <cell r="G287">
            <v>36774</v>
          </cell>
          <cell r="H287">
            <v>230</v>
          </cell>
          <cell r="I287">
            <v>84</v>
          </cell>
          <cell r="J287">
            <v>8.4743999999999993</v>
          </cell>
          <cell r="K287">
            <v>10</v>
          </cell>
          <cell r="L287">
            <v>1</v>
          </cell>
          <cell r="M287">
            <v>99</v>
          </cell>
          <cell r="N287">
            <v>1170</v>
          </cell>
          <cell r="O287">
            <v>156.19899999999998</v>
          </cell>
          <cell r="P287">
            <v>0</v>
          </cell>
          <cell r="R287">
            <v>0.13549951897670762</v>
          </cell>
          <cell r="S287">
            <v>0.13549951897670762</v>
          </cell>
          <cell r="T287">
            <v>17.072213799221089</v>
          </cell>
          <cell r="U287" t="str">
            <v>Old</v>
          </cell>
          <cell r="X287">
            <v>33</v>
          </cell>
          <cell r="Y287">
            <v>0.82789999999999997</v>
          </cell>
          <cell r="Z287">
            <v>-6.4514280709015157</v>
          </cell>
          <cell r="AA287">
            <v>-5.0083099999999998</v>
          </cell>
          <cell r="AB287">
            <v>-4.4295994184639031</v>
          </cell>
          <cell r="AC287" t="str">
            <v>J-1,106</v>
          </cell>
          <cell r="AE287">
            <v>13.532999999999999</v>
          </cell>
          <cell r="AF287" t="str">
            <v>16/30</v>
          </cell>
          <cell r="AG287">
            <v>4.5999999999999996</v>
          </cell>
          <cell r="AH287">
            <v>89.3</v>
          </cell>
          <cell r="AI287">
            <v>420</v>
          </cell>
          <cell r="AJ287">
            <v>3759.9863038927006</v>
          </cell>
          <cell r="AK287">
            <v>1</v>
          </cell>
          <cell r="AL287" t="str">
            <v>1:-5.00831!56.64255</v>
          </cell>
          <cell r="AM287">
            <v>1</v>
          </cell>
          <cell r="AN287">
            <v>-5.0083099999999998</v>
          </cell>
          <cell r="AO287">
            <v>3.419399462343228</v>
          </cell>
          <cell r="AP287">
            <v>56.64255</v>
          </cell>
          <cell r="AQ287">
            <v>17.072213799221089</v>
          </cell>
          <cell r="AR287">
            <v>6.1099814921168134</v>
          </cell>
          <cell r="AS287">
            <v>5.5475627830748691</v>
          </cell>
          <cell r="AT287">
            <v>0</v>
          </cell>
          <cell r="AU287" t="str">
            <v/>
          </cell>
          <cell r="AV287">
            <v>0</v>
          </cell>
          <cell r="AW287" t="str">
            <v>DAMMAGED formation S =5.5</v>
          </cell>
        </row>
        <row r="288">
          <cell r="C288" t="str">
            <v>Igolskoye!172</v>
          </cell>
          <cell r="D288">
            <v>47</v>
          </cell>
          <cell r="E288">
            <v>172</v>
          </cell>
          <cell r="F288">
            <v>2767.7</v>
          </cell>
          <cell r="G288">
            <v>36788</v>
          </cell>
          <cell r="H288">
            <v>230</v>
          </cell>
          <cell r="I288">
            <v>84</v>
          </cell>
          <cell r="J288">
            <v>0.82175999999999993</v>
          </cell>
          <cell r="K288">
            <v>1</v>
          </cell>
          <cell r="L288">
            <v>4</v>
          </cell>
          <cell r="M288">
            <v>96</v>
          </cell>
          <cell r="N288">
            <v>784</v>
          </cell>
          <cell r="O288">
            <v>191.53299999999999</v>
          </cell>
          <cell r="P288">
            <v>0</v>
          </cell>
          <cell r="R288">
            <v>2.5996308524189556E-2</v>
          </cell>
          <cell r="S288">
            <v>2.5996308524189556E-2</v>
          </cell>
          <cell r="T288">
            <v>3.275395665365938</v>
          </cell>
          <cell r="U288" t="str">
            <v>Old</v>
          </cell>
          <cell r="X288">
            <v>30</v>
          </cell>
          <cell r="Y288">
            <v>0.94440000000000002</v>
          </cell>
          <cell r="Z288">
            <v>-6.9693289453548104</v>
          </cell>
          <cell r="AA288">
            <v>-4.7202000000000002</v>
          </cell>
          <cell r="AB288">
            <v>-4.7146374542151133</v>
          </cell>
          <cell r="AC288" t="str">
            <v>J-1,103</v>
          </cell>
          <cell r="AE288">
            <v>14.457000000000001</v>
          </cell>
          <cell r="AF288" t="str">
            <v>20/40</v>
          </cell>
          <cell r="AG288">
            <v>5</v>
          </cell>
          <cell r="AH288">
            <v>96.5</v>
          </cell>
          <cell r="AI288">
            <v>250</v>
          </cell>
          <cell r="AJ288">
            <v>2035.5091236765036</v>
          </cell>
          <cell r="AK288">
            <v>1</v>
          </cell>
          <cell r="AL288" t="str">
            <v>1:-4.72020!73.62473</v>
          </cell>
          <cell r="AM288">
            <v>1</v>
          </cell>
          <cell r="AN288">
            <v>-4.7202000000000002</v>
          </cell>
          <cell r="AO288">
            <v>1.4324914192945202</v>
          </cell>
          <cell r="AP288">
            <v>73.62473</v>
          </cell>
          <cell r="AQ288">
            <v>3.275395665365938</v>
          </cell>
          <cell r="AR288">
            <v>36.328181333475889</v>
          </cell>
          <cell r="AS288">
            <v>78.436898702609938</v>
          </cell>
          <cell r="AT288">
            <v>0</v>
          </cell>
          <cell r="AU288" t="str">
            <v/>
          </cell>
          <cell r="AV288">
            <v>0</v>
          </cell>
          <cell r="AW288" t="str">
            <v>DAMMAGED formation S =78.4</v>
          </cell>
        </row>
        <row r="289">
          <cell r="C289" t="str">
            <v>Igolskoye!450</v>
          </cell>
          <cell r="D289">
            <v>11</v>
          </cell>
          <cell r="E289">
            <v>450</v>
          </cell>
          <cell r="F289">
            <v>2787.8</v>
          </cell>
          <cell r="G289">
            <v>36800</v>
          </cell>
          <cell r="H289">
            <v>239</v>
          </cell>
          <cell r="I289">
            <v>84</v>
          </cell>
          <cell r="J289">
            <v>46.609200000000001</v>
          </cell>
          <cell r="K289">
            <v>55</v>
          </cell>
          <cell r="L289">
            <v>1</v>
          </cell>
          <cell r="M289">
            <v>99</v>
          </cell>
          <cell r="N289">
            <v>1842</v>
          </cell>
          <cell r="O289">
            <v>98.122000000000014</v>
          </cell>
          <cell r="P289">
            <v>0</v>
          </cell>
          <cell r="R289">
            <v>0.39040872244069341</v>
          </cell>
          <cell r="S289">
            <v>0.39040872244069341</v>
          </cell>
          <cell r="T289">
            <v>49.18940841209939</v>
          </cell>
          <cell r="U289" t="str">
            <v>Old</v>
          </cell>
          <cell r="X289">
            <v>46.5</v>
          </cell>
          <cell r="Y289">
            <v>0.44159999999999999</v>
          </cell>
          <cell r="Z289">
            <v>-3.710849787903074</v>
          </cell>
          <cell r="AA289">
            <v>-3.7106599999999998</v>
          </cell>
          <cell r="AB289">
            <v>-4.4185824343263125</v>
          </cell>
          <cell r="AC289" t="str">
            <v>J-1,95</v>
          </cell>
          <cell r="AE289">
            <v>12.029</v>
          </cell>
          <cell r="AF289" t="str">
            <v>16/30</v>
          </cell>
          <cell r="AG289">
            <v>5</v>
          </cell>
          <cell r="AH289">
            <v>62.2</v>
          </cell>
          <cell r="AI289">
            <v>420</v>
          </cell>
          <cell r="AJ289">
            <v>4414.3890675241155</v>
          </cell>
          <cell r="AK289">
            <v>1</v>
          </cell>
          <cell r="AL289" t="str">
            <v>0.08130:-3.71066!49.18941</v>
          </cell>
          <cell r="AM289">
            <v>8.1299999999999997E-2</v>
          </cell>
          <cell r="AN289">
            <v>-3.7106599999999998</v>
          </cell>
          <cell r="AO289">
            <v>0.58650154345483474</v>
          </cell>
          <cell r="AP289">
            <v>49.189410000000002</v>
          </cell>
          <cell r="AQ289">
            <v>49.18940841209939</v>
          </cell>
          <cell r="AR289">
            <v>1.13105844254145</v>
          </cell>
          <cell r="AS289">
            <v>-3.2698597449472002</v>
          </cell>
          <cell r="AT289">
            <v>0</v>
          </cell>
          <cell r="AU289" t="str">
            <v/>
          </cell>
          <cell r="AV289">
            <v>0</v>
          </cell>
          <cell r="AW289" t="str">
            <v>Proppant Pack damage=8%</v>
          </cell>
        </row>
        <row r="290">
          <cell r="C290" t="str">
            <v>Igolskoye!158</v>
          </cell>
          <cell r="D290">
            <v>23</v>
          </cell>
          <cell r="E290">
            <v>158</v>
          </cell>
          <cell r="F290">
            <v>2753.9</v>
          </cell>
          <cell r="G290">
            <v>36791</v>
          </cell>
          <cell r="H290">
            <v>225.6</v>
          </cell>
          <cell r="I290">
            <v>84</v>
          </cell>
          <cell r="J290">
            <v>2.5423200000000001</v>
          </cell>
          <cell r="K290">
            <v>3</v>
          </cell>
          <cell r="L290">
            <v>1</v>
          </cell>
          <cell r="M290">
            <v>99</v>
          </cell>
          <cell r="N290">
            <v>1186</v>
          </cell>
          <cell r="O290">
            <v>154.11099999999999</v>
          </cell>
          <cell r="P290">
            <v>0</v>
          </cell>
          <cell r="R290">
            <v>4.1964498034662671E-2</v>
          </cell>
          <cell r="S290">
            <v>4.1964498034662671E-2</v>
          </cell>
          <cell r="T290">
            <v>5.2873020349829307</v>
          </cell>
          <cell r="U290" t="str">
            <v>Old</v>
          </cell>
          <cell r="X290">
            <v>30</v>
          </cell>
          <cell r="Y290">
            <v>0.90920000000000001</v>
          </cell>
          <cell r="Z290">
            <v>-6.8984622427900657</v>
          </cell>
          <cell r="AA290">
            <v>-4.6874799999999999</v>
          </cell>
          <cell r="AB290">
            <v>-4.4304925776748334</v>
          </cell>
          <cell r="AC290" t="str">
            <v>J-1,106</v>
          </cell>
          <cell r="AE290">
            <v>13.448</v>
          </cell>
          <cell r="AF290" t="str">
            <v>20/40</v>
          </cell>
          <cell r="AG290">
            <v>4.5999999999999996</v>
          </cell>
          <cell r="AH290">
            <v>70.2</v>
          </cell>
          <cell r="AI290">
            <v>250</v>
          </cell>
          <cell r="AJ290">
            <v>2829.1433064589964</v>
          </cell>
          <cell r="AK290">
            <v>1</v>
          </cell>
          <cell r="AL290" t="str">
            <v>1:-4.68748!71.86584</v>
          </cell>
          <cell r="AM290">
            <v>1</v>
          </cell>
          <cell r="AN290">
            <v>-4.6874799999999999</v>
          </cell>
          <cell r="AO290">
            <v>2.5796047027043367</v>
          </cell>
          <cell r="AP290">
            <v>71.865840000000006</v>
          </cell>
          <cell r="AQ290">
            <v>5.2873020349829307</v>
          </cell>
          <cell r="AR290">
            <v>21.665898003792936</v>
          </cell>
          <cell r="AS290">
            <v>44.633049759675117</v>
          </cell>
          <cell r="AT290">
            <v>0</v>
          </cell>
          <cell r="AU290" t="str">
            <v/>
          </cell>
          <cell r="AV290">
            <v>0</v>
          </cell>
          <cell r="AW290" t="str">
            <v>DAMMAGED formation S =44.6</v>
          </cell>
        </row>
        <row r="291">
          <cell r="C291" t="str">
            <v>Igolskoye!374</v>
          </cell>
          <cell r="D291">
            <v>4</v>
          </cell>
          <cell r="E291">
            <v>374</v>
          </cell>
          <cell r="F291">
            <v>2774.3</v>
          </cell>
          <cell r="G291">
            <v>36806</v>
          </cell>
          <cell r="H291">
            <v>216</v>
          </cell>
          <cell r="I291">
            <v>84</v>
          </cell>
          <cell r="J291">
            <v>8.3545599999999993</v>
          </cell>
          <cell r="K291">
            <v>10</v>
          </cell>
          <cell r="L291">
            <v>2.4</v>
          </cell>
          <cell r="M291">
            <v>97.6</v>
          </cell>
          <cell r="N291">
            <v>1385</v>
          </cell>
          <cell r="O291">
            <v>138.03700000000001</v>
          </cell>
          <cell r="P291">
            <v>0</v>
          </cell>
          <cell r="R291">
            <v>0.12826597232020318</v>
          </cell>
          <cell r="S291">
            <v>0.12826597232020318</v>
          </cell>
          <cell r="T291">
            <v>16.160825655712529</v>
          </cell>
          <cell r="U291" t="str">
            <v>Old</v>
          </cell>
          <cell r="X291">
            <v>31.37</v>
          </cell>
          <cell r="Y291">
            <v>0.79</v>
          </cell>
          <cell r="Z291">
            <v>-6.4563907772709968</v>
          </cell>
          <cell r="AA291">
            <v>-4.8033200000000003</v>
          </cell>
          <cell r="AB291">
            <v>-4.7102409980095992</v>
          </cell>
          <cell r="AC291" t="str">
            <v>J-1,104</v>
          </cell>
          <cell r="AE291">
            <v>14.571999999999999</v>
          </cell>
          <cell r="AF291" t="str">
            <v>20/40</v>
          </cell>
          <cell r="AG291">
            <v>6</v>
          </cell>
          <cell r="AH291">
            <v>75.599999999999994</v>
          </cell>
          <cell r="AI291">
            <v>250</v>
          </cell>
          <cell r="AJ291">
            <v>2182.4198681082739</v>
          </cell>
          <cell r="AK291">
            <v>1</v>
          </cell>
          <cell r="AL291" t="str">
            <v>1:-4.80332!59.41312</v>
          </cell>
          <cell r="AM291">
            <v>1</v>
          </cell>
          <cell r="AN291">
            <v>-4.8033200000000003</v>
          </cell>
          <cell r="AO291">
            <v>2.9153144295458517</v>
          </cell>
          <cell r="AP291">
            <v>59.413119999999999</v>
          </cell>
          <cell r="AQ291">
            <v>16.160825655712529</v>
          </cell>
          <cell r="AR291">
            <v>6.1590799100043796</v>
          </cell>
          <cell r="AS291">
            <v>6.9115369437330818</v>
          </cell>
          <cell r="AT291">
            <v>0</v>
          </cell>
          <cell r="AU291" t="str">
            <v/>
          </cell>
          <cell r="AV291">
            <v>0</v>
          </cell>
          <cell r="AW291" t="str">
            <v>DAMMAGED formation S =6.9</v>
          </cell>
        </row>
        <row r="292">
          <cell r="C292" t="str">
            <v>Igolskoye!191</v>
          </cell>
          <cell r="D292">
            <v>47</v>
          </cell>
          <cell r="E292">
            <v>191</v>
          </cell>
          <cell r="F292">
            <v>2766.75</v>
          </cell>
          <cell r="G292">
            <v>36803</v>
          </cell>
          <cell r="H292">
            <v>224.2</v>
          </cell>
          <cell r="I292">
            <v>84</v>
          </cell>
          <cell r="J292">
            <v>8.4230400000000003</v>
          </cell>
          <cell r="K292">
            <v>10</v>
          </cell>
          <cell r="L292">
            <v>1.6</v>
          </cell>
          <cell r="M292">
            <v>98.4</v>
          </cell>
          <cell r="N292">
            <v>1350</v>
          </cell>
          <cell r="O292">
            <v>140.50749999999999</v>
          </cell>
          <cell r="P292">
            <v>0</v>
          </cell>
          <cell r="R292">
            <v>0.11948501956567197</v>
          </cell>
          <cell r="S292">
            <v>0.11948501956567197</v>
          </cell>
          <cell r="T292">
            <v>15.054472630119974</v>
          </cell>
          <cell r="U292" t="str">
            <v>Old</v>
          </cell>
          <cell r="X292">
            <v>30.19</v>
          </cell>
          <cell r="Y292">
            <v>0.72529999999999994</v>
          </cell>
          <cell r="Z292">
            <v>-6.4473491188938796</v>
          </cell>
          <cell r="AA292">
            <v>-5.0985399999999998</v>
          </cell>
          <cell r="AB292">
            <v>-4.586108905335351</v>
          </cell>
          <cell r="AC292" t="str">
            <v>J-1,103</v>
          </cell>
          <cell r="AE292">
            <v>14.141999999999999</v>
          </cell>
          <cell r="AF292" t="str">
            <v>16/30</v>
          </cell>
          <cell r="AG292">
            <v>5.0999999999999996</v>
          </cell>
          <cell r="AH292">
            <v>95.5</v>
          </cell>
          <cell r="AI292">
            <v>420</v>
          </cell>
          <cell r="AJ292">
            <v>3313.8951004941014</v>
          </cell>
          <cell r="AK292">
            <v>1</v>
          </cell>
          <cell r="AL292" t="str">
            <v>1:-5.09854!47.45540</v>
          </cell>
          <cell r="AM292">
            <v>1</v>
          </cell>
          <cell r="AN292">
            <v>-5.0985399999999998</v>
          </cell>
          <cell r="AO292">
            <v>3.7292364727314902</v>
          </cell>
          <cell r="AP292">
            <v>47.455399999999997</v>
          </cell>
          <cell r="AQ292">
            <v>15.054472630119974</v>
          </cell>
          <cell r="AR292">
            <v>6.0702069248639106</v>
          </cell>
          <cell r="AS292">
            <v>4.9176842563538523</v>
          </cell>
          <cell r="AT292">
            <v>0</v>
          </cell>
          <cell r="AU292" t="str">
            <v/>
          </cell>
          <cell r="AV292">
            <v>0</v>
          </cell>
          <cell r="AW292" t="str">
            <v>DAMMAGED formation S =4.9</v>
          </cell>
        </row>
        <row r="293">
          <cell r="C293" t="str">
            <v>Igolskoye!149</v>
          </cell>
          <cell r="D293">
            <v>23</v>
          </cell>
          <cell r="E293">
            <v>149</v>
          </cell>
          <cell r="F293">
            <v>2760.7</v>
          </cell>
          <cell r="G293">
            <v>36800</v>
          </cell>
          <cell r="H293">
            <v>244</v>
          </cell>
          <cell r="I293">
            <v>84</v>
          </cell>
          <cell r="J293">
            <v>38.982239999999997</v>
          </cell>
          <cell r="K293">
            <v>46</v>
          </cell>
          <cell r="L293">
            <v>1</v>
          </cell>
          <cell r="M293">
            <v>99</v>
          </cell>
          <cell r="N293">
            <v>1716</v>
          </cell>
          <cell r="O293">
            <v>107.02299999999998</v>
          </cell>
          <cell r="P293">
            <v>0</v>
          </cell>
          <cell r="R293">
            <v>0.33582280236828072</v>
          </cell>
          <cell r="S293">
            <v>0.33582280236828072</v>
          </cell>
          <cell r="T293">
            <v>42.311874787322331</v>
          </cell>
          <cell r="U293" t="str">
            <v>Old</v>
          </cell>
          <cell r="X293">
            <v>46.5</v>
          </cell>
          <cell r="Y293">
            <v>0.74219999999999997</v>
          </cell>
          <cell r="Z293">
            <v>-5.3527681190373189</v>
          </cell>
          <cell r="AA293">
            <v>-4.89072</v>
          </cell>
          <cell r="AB293">
            <v>-4.3749283392862184</v>
          </cell>
          <cell r="AC293" t="str">
            <v>J-1,104</v>
          </cell>
          <cell r="AE293">
            <v>15</v>
          </cell>
          <cell r="AF293" t="str">
            <v>20/40</v>
          </cell>
          <cell r="AG293">
            <v>5</v>
          </cell>
          <cell r="AH293">
            <v>95.2</v>
          </cell>
          <cell r="AI293">
            <v>250</v>
          </cell>
          <cell r="AJ293">
            <v>2140.8019729630978</v>
          </cell>
          <cell r="AK293">
            <v>1</v>
          </cell>
          <cell r="AL293" t="str">
            <v>1:-4.89072!53.66982</v>
          </cell>
          <cell r="AM293">
            <v>1</v>
          </cell>
          <cell r="AN293">
            <v>-4.89072</v>
          </cell>
          <cell r="AO293">
            <v>2.0949777437660009</v>
          </cell>
          <cell r="AP293">
            <v>53.669820000000001</v>
          </cell>
          <cell r="AQ293">
            <v>42.311874787322331</v>
          </cell>
          <cell r="AR293">
            <v>2.2100955009672147</v>
          </cell>
          <cell r="AS293">
            <v>-2.2486870171181046</v>
          </cell>
          <cell r="AT293">
            <v>0</v>
          </cell>
          <cell r="AU293" t="str">
            <v/>
          </cell>
          <cell r="AV293">
            <v>0</v>
          </cell>
          <cell r="AW293" t="str">
            <v>Slight DAMMAGED formation S =-2.2</v>
          </cell>
        </row>
        <row r="294">
          <cell r="C294" t="str">
            <v>Igolskoye!1081</v>
          </cell>
          <cell r="D294">
            <v>31</v>
          </cell>
          <cell r="E294">
            <v>1081</v>
          </cell>
          <cell r="F294">
            <v>2747.4</v>
          </cell>
          <cell r="G294">
            <v>36812</v>
          </cell>
          <cell r="H294">
            <v>200</v>
          </cell>
          <cell r="I294">
            <v>84</v>
          </cell>
          <cell r="J294">
            <v>27.965520000000001</v>
          </cell>
          <cell r="K294">
            <v>33</v>
          </cell>
          <cell r="L294">
            <v>1</v>
          </cell>
          <cell r="M294">
            <v>99</v>
          </cell>
          <cell r="N294">
            <v>2320</v>
          </cell>
          <cell r="O294">
            <v>51.466000000000008</v>
          </cell>
          <cell r="P294">
            <v>0</v>
          </cell>
          <cell r="R294">
            <v>0.23087631148781604</v>
          </cell>
          <cell r="S294">
            <v>0.23087631148781604</v>
          </cell>
          <cell r="T294">
            <v>29.089178918584327</v>
          </cell>
          <cell r="U294" t="str">
            <v>Old</v>
          </cell>
          <cell r="X294">
            <v>28.5</v>
          </cell>
          <cell r="Y294">
            <v>0.3574</v>
          </cell>
          <cell r="Z294">
            <v>-4.6165852807692698</v>
          </cell>
          <cell r="AA294">
            <v>-4.4032</v>
          </cell>
          <cell r="AB294">
            <v>-4.3260056562571219</v>
          </cell>
          <cell r="AC294" t="str">
            <v>J-1,103</v>
          </cell>
          <cell r="AE294">
            <v>13.872</v>
          </cell>
          <cell r="AF294" t="str">
            <v>20/40</v>
          </cell>
          <cell r="AG294">
            <v>6</v>
          </cell>
          <cell r="AH294">
            <v>79.599999999999994</v>
          </cell>
          <cell r="AI294">
            <v>250</v>
          </cell>
          <cell r="AJ294">
            <v>1973.1811230063361</v>
          </cell>
          <cell r="AK294">
            <v>1</v>
          </cell>
          <cell r="AL294" t="str">
            <v>0.22095:-4.40320!29.08918</v>
          </cell>
          <cell r="AM294">
            <v>0.22095000000000001</v>
          </cell>
          <cell r="AN294">
            <v>-4.4032</v>
          </cell>
          <cell r="AO294">
            <v>1.129711790871474</v>
          </cell>
          <cell r="AP294">
            <v>29.089179999999999</v>
          </cell>
          <cell r="AQ294">
            <v>29.089178918584327</v>
          </cell>
          <cell r="AR294">
            <v>1.4243375049111013</v>
          </cell>
          <cell r="AS294">
            <v>-3.2698597263275255</v>
          </cell>
          <cell r="AT294">
            <v>0</v>
          </cell>
          <cell r="AU294" t="str">
            <v/>
          </cell>
          <cell r="AV294">
            <v>0</v>
          </cell>
          <cell r="AW294" t="str">
            <v>Proppant Pack damage=22%</v>
          </cell>
        </row>
        <row r="295">
          <cell r="C295" t="str">
            <v>Igolskoye!290</v>
          </cell>
          <cell r="D295">
            <v>31</v>
          </cell>
          <cell r="E295">
            <v>290</v>
          </cell>
          <cell r="F295">
            <v>2746.7</v>
          </cell>
          <cell r="G295">
            <v>36837</v>
          </cell>
          <cell r="H295">
            <v>200</v>
          </cell>
          <cell r="I295">
            <v>84</v>
          </cell>
          <cell r="J295">
            <v>30.507840000000002</v>
          </cell>
          <cell r="K295">
            <v>36</v>
          </cell>
          <cell r="L295">
            <v>1</v>
          </cell>
          <cell r="M295">
            <v>99</v>
          </cell>
          <cell r="N295">
            <v>2320</v>
          </cell>
          <cell r="O295">
            <v>51.402999999999984</v>
          </cell>
          <cell r="P295">
            <v>0</v>
          </cell>
          <cell r="R295">
            <v>0.25179233109488558</v>
          </cell>
          <cell r="S295">
            <v>0.25179233109488558</v>
          </cell>
          <cell r="T295">
            <v>31.724485385037347</v>
          </cell>
          <cell r="U295" t="str">
            <v>Old</v>
          </cell>
          <cell r="X295">
            <v>38</v>
          </cell>
          <cell r="Y295">
            <v>1.8154999999999999</v>
          </cell>
          <cell r="Z295">
            <v>-6.5464421018002605</v>
          </cell>
          <cell r="AA295">
            <v>-3.5741900000000002</v>
          </cell>
          <cell r="AB295">
            <v>-4.455101305259987</v>
          </cell>
          <cell r="AC295" t="str">
            <v>J-1,71</v>
          </cell>
          <cell r="AE295">
            <v>11.173999999999999</v>
          </cell>
          <cell r="AF295" t="str">
            <v>20/40</v>
          </cell>
          <cell r="AG295">
            <v>5.6</v>
          </cell>
          <cell r="AH295">
            <v>128.6</v>
          </cell>
          <cell r="AI295">
            <v>250</v>
          </cell>
          <cell r="AJ295">
            <v>1054.075845464293</v>
          </cell>
          <cell r="AK295">
            <v>1</v>
          </cell>
          <cell r="AL295" t="str">
            <v>1:-3.57419!210.44421</v>
          </cell>
          <cell r="AM295">
            <v>1</v>
          </cell>
          <cell r="AN295">
            <v>-3.5741900000000002</v>
          </cell>
          <cell r="AO295">
            <v>0.21811319446834332</v>
          </cell>
          <cell r="AP295">
            <v>210.44421</v>
          </cell>
          <cell r="AQ295">
            <v>31.724485385037347</v>
          </cell>
          <cell r="AR295">
            <v>7.2103106699306947</v>
          </cell>
          <cell r="AS295">
            <v>18.161003127441909</v>
          </cell>
          <cell r="AT295">
            <v>0</v>
          </cell>
          <cell r="AU295" t="str">
            <v/>
          </cell>
          <cell r="AV295">
            <v>0</v>
          </cell>
          <cell r="AW295" t="str">
            <v>DAMMAGED formation S =18.2</v>
          </cell>
        </row>
        <row r="296">
          <cell r="C296" t="str">
            <v>Igolskoye!341</v>
          </cell>
          <cell r="D296">
            <v>38</v>
          </cell>
          <cell r="E296">
            <v>341</v>
          </cell>
          <cell r="F296">
            <v>2745.6</v>
          </cell>
          <cell r="G296">
            <v>36852</v>
          </cell>
          <cell r="H296">
            <v>212</v>
          </cell>
          <cell r="I296">
            <v>84</v>
          </cell>
          <cell r="J296">
            <v>12.711599999999999</v>
          </cell>
          <cell r="K296">
            <v>15</v>
          </cell>
          <cell r="L296">
            <v>1</v>
          </cell>
          <cell r="M296">
            <v>99</v>
          </cell>
          <cell r="N296">
            <v>1278</v>
          </cell>
          <cell r="O296">
            <v>145.08399999999997</v>
          </cell>
          <cell r="P296">
            <v>0</v>
          </cell>
          <cell r="R296">
            <v>0.2241616354832924</v>
          </cell>
          <cell r="S296">
            <v>0.2241616354832924</v>
          </cell>
          <cell r="T296">
            <v>28.243165698703944</v>
          </cell>
          <cell r="U296" t="str">
            <v>Old</v>
          </cell>
          <cell r="X296">
            <v>28.3</v>
          </cell>
          <cell r="Y296">
            <v>1.4362999999999999</v>
          </cell>
          <cell r="Z296">
            <v>-6.4803311967358059</v>
          </cell>
          <cell r="AA296">
            <v>-4.1261000000000001</v>
          </cell>
          <cell r="AB296">
            <v>-4.1366723247697834</v>
          </cell>
          <cell r="AC296" t="str">
            <v>J-1,107</v>
          </cell>
          <cell r="AE296">
            <v>9.359</v>
          </cell>
          <cell r="AF296" t="str">
            <v>20/40</v>
          </cell>
          <cell r="AG296">
            <v>2.8</v>
          </cell>
          <cell r="AH296">
            <v>75.3</v>
          </cell>
          <cell r="AI296">
            <v>250</v>
          </cell>
          <cell r="AJ296">
            <v>3015.5645533806805</v>
          </cell>
          <cell r="AK296">
            <v>1</v>
          </cell>
          <cell r="AL296" t="str">
            <v>1:-4.12610!140.23452</v>
          </cell>
          <cell r="AM296">
            <v>1</v>
          </cell>
          <cell r="AN296">
            <v>-4.1261000000000001</v>
          </cell>
          <cell r="AO296">
            <v>0.79960730406215819</v>
          </cell>
          <cell r="AP296">
            <v>140.23452</v>
          </cell>
          <cell r="AQ296">
            <v>28.243165698703944</v>
          </cell>
          <cell r="AR296">
            <v>6.4074288466110483</v>
          </cell>
          <cell r="AS296">
            <v>11.81470829735628</v>
          </cell>
          <cell r="AT296">
            <v>0</v>
          </cell>
          <cell r="AU296" t="str">
            <v/>
          </cell>
          <cell r="AV296">
            <v>0</v>
          </cell>
          <cell r="AW296" t="str">
            <v>DAMMAGED formation S =11.8</v>
          </cell>
        </row>
        <row r="297">
          <cell r="C297" t="str">
            <v>Igolskoye!235</v>
          </cell>
          <cell r="D297">
            <v>31</v>
          </cell>
          <cell r="E297">
            <v>235</v>
          </cell>
          <cell r="F297">
            <v>2741</v>
          </cell>
          <cell r="G297">
            <v>36871</v>
          </cell>
          <cell r="H297">
            <v>230</v>
          </cell>
          <cell r="I297">
            <v>84</v>
          </cell>
          <cell r="J297">
            <v>29.406168000000001</v>
          </cell>
          <cell r="K297">
            <v>34.700000000000003</v>
          </cell>
          <cell r="L297">
            <v>1</v>
          </cell>
          <cell r="M297">
            <v>99</v>
          </cell>
          <cell r="N297">
            <v>1900</v>
          </cell>
          <cell r="O297">
            <v>88.69</v>
          </cell>
          <cell r="P297">
            <v>0</v>
          </cell>
          <cell r="R297">
            <v>0.24555940839289506</v>
          </cell>
          <cell r="S297">
            <v>0.24555940839289506</v>
          </cell>
          <cell r="T297">
            <v>30.939170501515928</v>
          </cell>
          <cell r="U297" t="str">
            <v>Old</v>
          </cell>
          <cell r="X297">
            <v>26.37</v>
          </cell>
          <cell r="Y297">
            <v>0.95389999999999997</v>
          </cell>
          <cell r="Z297">
            <v>-6.0947466097479275</v>
          </cell>
          <cell r="AA297">
            <v>-4.4809999999999999</v>
          </cell>
          <cell r="AB297">
            <v>-3.866702242134652</v>
          </cell>
          <cell r="AC297" t="str">
            <v>J-1,105</v>
          </cell>
          <cell r="AE297">
            <v>10.462</v>
          </cell>
          <cell r="AF297" t="str">
            <v>20/40</v>
          </cell>
          <cell r="AG297">
            <v>2.8</v>
          </cell>
          <cell r="AH297">
            <v>53.2</v>
          </cell>
          <cell r="AI297">
            <v>250</v>
          </cell>
          <cell r="AJ297">
            <v>4771.3056904684072</v>
          </cell>
          <cell r="AK297">
            <v>1</v>
          </cell>
          <cell r="AL297" t="str">
            <v>1:-4.48100!81.92262</v>
          </cell>
          <cell r="AM297">
            <v>1</v>
          </cell>
          <cell r="AN297">
            <v>-4.4809999999999999</v>
          </cell>
          <cell r="AO297">
            <v>3.0653481557342301</v>
          </cell>
          <cell r="AP297">
            <v>81.922619999999995</v>
          </cell>
          <cell r="AQ297">
            <v>30.939170501515928</v>
          </cell>
          <cell r="AR297">
            <v>3.8846035592867607</v>
          </cell>
          <cell r="AS297">
            <v>2.9989097523103974</v>
          </cell>
          <cell r="AT297">
            <v>0</v>
          </cell>
          <cell r="AU297" t="str">
            <v/>
          </cell>
          <cell r="AV297">
            <v>0</v>
          </cell>
          <cell r="AW297" t="str">
            <v>DAMMAGED formation S =3.0</v>
          </cell>
        </row>
        <row r="298">
          <cell r="C298" t="str">
            <v>Igolskoye!1096</v>
          </cell>
          <cell r="D298">
            <v>38</v>
          </cell>
          <cell r="E298">
            <v>1096</v>
          </cell>
          <cell r="F298">
            <v>2736.4</v>
          </cell>
          <cell r="G298">
            <v>36893</v>
          </cell>
          <cell r="H298">
            <v>230</v>
          </cell>
          <cell r="I298">
            <v>84</v>
          </cell>
          <cell r="J298">
            <v>27.287568000000004</v>
          </cell>
          <cell r="K298">
            <v>32.200000000000003</v>
          </cell>
          <cell r="L298">
            <v>1</v>
          </cell>
          <cell r="M298">
            <v>99</v>
          </cell>
          <cell r="N298">
            <v>1670</v>
          </cell>
          <cell r="O298">
            <v>108.976</v>
          </cell>
          <cell r="P298">
            <v>0</v>
          </cell>
          <cell r="R298">
            <v>0.26606292966684297</v>
          </cell>
          <cell r="S298">
            <v>0.26606292966684297</v>
          </cell>
          <cell r="T298">
            <v>33.522504386899598</v>
          </cell>
          <cell r="U298" t="str">
            <v>Old</v>
          </cell>
          <cell r="X298">
            <v>1</v>
          </cell>
          <cell r="Y298">
            <v>0.73089999999999999</v>
          </cell>
          <cell r="Z298">
            <v>-5.6892424669618116</v>
          </cell>
          <cell r="AA298">
            <v>-4.46401</v>
          </cell>
          <cell r="AB298">
            <v>-3.9065038372898728</v>
          </cell>
          <cell r="AC298" t="str">
            <v>J-1,104</v>
          </cell>
          <cell r="AE298">
            <v>10.717000000000001</v>
          </cell>
          <cell r="AF298" t="str">
            <v>20/40</v>
          </cell>
          <cell r="AG298">
            <v>3.9</v>
          </cell>
          <cell r="AH298">
            <v>141.6</v>
          </cell>
          <cell r="AI298">
            <v>250</v>
          </cell>
          <cell r="AJ298">
            <v>1318.3707540514836</v>
          </cell>
          <cell r="AK298">
            <v>1</v>
          </cell>
          <cell r="AL298" t="str">
            <v>0.51978:-4.46401!33.52250</v>
          </cell>
          <cell r="AM298">
            <v>0.51978000000000002</v>
          </cell>
          <cell r="AN298">
            <v>-4.46401</v>
          </cell>
          <cell r="AO298">
            <v>0.56301774023716944</v>
          </cell>
          <cell r="AP298">
            <v>33.522500000000001</v>
          </cell>
          <cell r="AQ298">
            <v>33.522504386899598</v>
          </cell>
          <cell r="AR298">
            <v>1.4575224737442427</v>
          </cell>
          <cell r="AS298" t="str">
            <v/>
          </cell>
          <cell r="AT298">
            <v>0</v>
          </cell>
          <cell r="AU298" t="str">
            <v/>
          </cell>
          <cell r="AV298">
            <v>0</v>
          </cell>
          <cell r="AW298" t="str">
            <v>Proppant Pack damage=52%</v>
          </cell>
        </row>
        <row r="299">
          <cell r="C299" t="str">
            <v>Igolskoye!147</v>
          </cell>
          <cell r="D299">
            <v>24</v>
          </cell>
          <cell r="E299">
            <v>147</v>
          </cell>
          <cell r="F299">
            <v>2753.45</v>
          </cell>
          <cell r="G299">
            <v>36885</v>
          </cell>
          <cell r="H299">
            <v>261</v>
          </cell>
          <cell r="I299">
            <v>84</v>
          </cell>
          <cell r="J299">
            <v>10.189824000000002</v>
          </cell>
          <cell r="K299">
            <v>12</v>
          </cell>
          <cell r="L299">
            <v>0.8</v>
          </cell>
          <cell r="M299">
            <v>99.2</v>
          </cell>
          <cell r="N299">
            <v>2093</v>
          </cell>
          <cell r="O299">
            <v>72.440499999999986</v>
          </cell>
          <cell r="P299">
            <v>0</v>
          </cell>
          <cell r="R299">
            <v>6.3879904050332809E-2</v>
          </cell>
          <cell r="S299">
            <v>6.3879904050332809E-2</v>
          </cell>
          <cell r="T299">
            <v>8.0485258372650037</v>
          </cell>
          <cell r="U299" t="str">
            <v>Old</v>
          </cell>
          <cell r="X299">
            <v>23</v>
          </cell>
          <cell r="Y299">
            <v>1.3287</v>
          </cell>
          <cell r="Z299">
            <v>-6.8911521704023588</v>
          </cell>
          <cell r="AA299">
            <v>-4.2526000000000002</v>
          </cell>
          <cell r="AB299">
            <v>-4.3147408849478524</v>
          </cell>
          <cell r="AC299" t="str">
            <v>J-1,105</v>
          </cell>
          <cell r="AE299">
            <v>10.545999999999999</v>
          </cell>
          <cell r="AF299" t="str">
            <v>20/40</v>
          </cell>
          <cell r="AG299">
            <v>3.6</v>
          </cell>
          <cell r="AH299">
            <v>82.5</v>
          </cell>
          <cell r="AI299">
            <v>250</v>
          </cell>
          <cell r="AJ299">
            <v>2412.2566242131456</v>
          </cell>
          <cell r="AK299">
            <v>1</v>
          </cell>
          <cell r="AL299" t="str">
            <v>1:-4.25260!124.16204</v>
          </cell>
          <cell r="AM299">
            <v>1</v>
          </cell>
          <cell r="AN299">
            <v>-4.2526000000000002</v>
          </cell>
          <cell r="AO299">
            <v>0.84778010443765106</v>
          </cell>
          <cell r="AP299">
            <v>124.16204</v>
          </cell>
          <cell r="AQ299">
            <v>8.0485258372650037</v>
          </cell>
          <cell r="AR299">
            <v>20.799960580263733</v>
          </cell>
          <cell r="AS299">
            <v>51.611919794296931</v>
          </cell>
          <cell r="AT299">
            <v>0</v>
          </cell>
          <cell r="AU299" t="str">
            <v/>
          </cell>
          <cell r="AV299">
            <v>0</v>
          </cell>
          <cell r="AW299" t="str">
            <v>DAMMAGED formation S =51.6</v>
          </cell>
        </row>
        <row r="300">
          <cell r="C300" t="str">
            <v>Igolskoye!156</v>
          </cell>
          <cell r="D300">
            <v>24</v>
          </cell>
          <cell r="E300">
            <v>156</v>
          </cell>
          <cell r="F300">
            <v>2740</v>
          </cell>
          <cell r="G300">
            <v>36884</v>
          </cell>
          <cell r="H300">
            <v>226</v>
          </cell>
          <cell r="I300">
            <v>84</v>
          </cell>
          <cell r="J300">
            <v>10.169280000000001</v>
          </cell>
          <cell r="K300">
            <v>12</v>
          </cell>
          <cell r="L300">
            <v>1</v>
          </cell>
          <cell r="M300">
            <v>99</v>
          </cell>
          <cell r="N300">
            <v>1058</v>
          </cell>
          <cell r="O300">
            <v>164.38</v>
          </cell>
          <cell r="P300">
            <v>0</v>
          </cell>
          <cell r="R300">
            <v>0.19474196689386561</v>
          </cell>
          <cell r="S300">
            <v>0.19474196689386561</v>
          </cell>
          <cell r="T300">
            <v>24.53644499700712</v>
          </cell>
          <cell r="U300" t="str">
            <v>Old</v>
          </cell>
          <cell r="X300">
            <v>20.5</v>
          </cell>
          <cell r="Y300">
            <v>0.84260000000000002</v>
          </cell>
          <cell r="Z300">
            <v>-6.1948213586623435</v>
          </cell>
          <cell r="AA300">
            <v>-4.5377299999999998</v>
          </cell>
          <cell r="AB300">
            <v>-4.2528132225967132</v>
          </cell>
          <cell r="AC300" t="str">
            <v>J-1,107</v>
          </cell>
          <cell r="AE300">
            <v>11.041</v>
          </cell>
          <cell r="AF300" t="str">
            <v>20/40</v>
          </cell>
          <cell r="AG300">
            <v>3.8</v>
          </cell>
          <cell r="AH300">
            <v>112.7</v>
          </cell>
          <cell r="AI300">
            <v>250</v>
          </cell>
          <cell r="AJ300">
            <v>1751.4312211801443</v>
          </cell>
          <cell r="AK300">
            <v>1</v>
          </cell>
          <cell r="AL300" t="str">
            <v>1:-4.53773!70.78065</v>
          </cell>
          <cell r="AM300">
            <v>1</v>
          </cell>
          <cell r="AN300">
            <v>-4.5377299999999998</v>
          </cell>
          <cell r="AO300">
            <v>0.83433069433055074</v>
          </cell>
          <cell r="AP300">
            <v>70.780649999999994</v>
          </cell>
          <cell r="AQ300">
            <v>24.53644499700712</v>
          </cell>
          <cell r="AR300">
            <v>4.3267450265329712</v>
          </cell>
          <cell r="AS300">
            <v>3.8999466748321163</v>
          </cell>
          <cell r="AT300">
            <v>0</v>
          </cell>
          <cell r="AU300" t="str">
            <v/>
          </cell>
          <cell r="AV300">
            <v>0</v>
          </cell>
          <cell r="AW300" t="str">
            <v>DAMMAGED formation S =3.9</v>
          </cell>
        </row>
        <row r="301">
          <cell r="C301" t="str">
            <v>Igolskoye!271</v>
          </cell>
          <cell r="D301">
            <v>31</v>
          </cell>
          <cell r="E301">
            <v>271</v>
          </cell>
          <cell r="F301">
            <v>2744.9</v>
          </cell>
          <cell r="G301">
            <v>36892</v>
          </cell>
          <cell r="H301">
            <v>257</v>
          </cell>
          <cell r="I301">
            <v>84</v>
          </cell>
          <cell r="J301">
            <v>9.3218399999999999</v>
          </cell>
          <cell r="K301">
            <v>11</v>
          </cell>
          <cell r="L301">
            <v>1</v>
          </cell>
          <cell r="M301">
            <v>99</v>
          </cell>
          <cell r="N301">
            <v>2093</v>
          </cell>
          <cell r="O301">
            <v>71.671000000000006</v>
          </cell>
          <cell r="P301">
            <v>0</v>
          </cell>
          <cell r="R301">
            <v>5.9612601087777606E-2</v>
          </cell>
          <cell r="S301">
            <v>5.9612601087777606E-2</v>
          </cell>
          <cell r="T301">
            <v>7.5108685151359476</v>
          </cell>
          <cell r="U301" t="str">
            <v>Old</v>
          </cell>
          <cell r="X301">
            <v>44.5</v>
          </cell>
          <cell r="Y301">
            <v>0.49070000000000003</v>
          </cell>
          <cell r="Z301">
            <v>-6.6118951426831538</v>
          </cell>
          <cell r="AA301">
            <v>-4.7464500000000003</v>
          </cell>
          <cell r="AB301">
            <v>-4.1428913923886856</v>
          </cell>
          <cell r="AC301" t="str">
            <v>J-1,104</v>
          </cell>
          <cell r="AE301">
            <v>14.786</v>
          </cell>
          <cell r="AF301" t="str">
            <v>20/40</v>
          </cell>
          <cell r="AG301">
            <v>11.2</v>
          </cell>
          <cell r="AH301">
            <v>53.1</v>
          </cell>
          <cell r="AI301">
            <v>250</v>
          </cell>
          <cell r="AJ301">
            <v>1689.0027166602333</v>
          </cell>
          <cell r="AK301">
            <v>1</v>
          </cell>
          <cell r="AL301" t="str">
            <v>1:-4.74645!34.17492</v>
          </cell>
          <cell r="AM301">
            <v>1</v>
          </cell>
          <cell r="AN301">
            <v>-4.7464500000000003</v>
          </cell>
          <cell r="AO301">
            <v>10.424286598949454</v>
          </cell>
          <cell r="AP301">
            <v>34.17492</v>
          </cell>
          <cell r="AQ301">
            <v>7.5108685151359476</v>
          </cell>
          <cell r="AR301">
            <v>7.4365500017345774</v>
          </cell>
          <cell r="AS301">
            <v>10.235238107714459</v>
          </cell>
          <cell r="AT301">
            <v>0</v>
          </cell>
          <cell r="AU301" t="str">
            <v/>
          </cell>
          <cell r="AV301">
            <v>0</v>
          </cell>
          <cell r="AW301" t="str">
            <v>DAMMAGED formation S =10.2</v>
          </cell>
        </row>
        <row r="302">
          <cell r="C302" t="str">
            <v>Pervomayskoye!583</v>
          </cell>
          <cell r="D302">
            <v>34</v>
          </cell>
          <cell r="E302">
            <v>583</v>
          </cell>
          <cell r="F302">
            <v>2491.85</v>
          </cell>
          <cell r="G302">
            <v>36606</v>
          </cell>
          <cell r="H302">
            <v>233</v>
          </cell>
          <cell r="I302">
            <v>63</v>
          </cell>
          <cell r="J302">
            <v>71.385599999999997</v>
          </cell>
          <cell r="K302">
            <v>88</v>
          </cell>
          <cell r="L302">
            <v>4</v>
          </cell>
          <cell r="M302">
            <v>96</v>
          </cell>
          <cell r="N302">
            <v>1569</v>
          </cell>
          <cell r="O302">
            <v>96.056499999999986</v>
          </cell>
          <cell r="P302">
            <v>0</v>
          </cell>
          <cell r="R302">
            <v>0.64260078061390269</v>
          </cell>
          <cell r="S302">
            <v>0.64260078061390269</v>
          </cell>
          <cell r="T302">
            <v>80.964257268490854</v>
          </cell>
          <cell r="U302" t="str">
            <v>Old</v>
          </cell>
          <cell r="V302" t="str">
            <v>First 4 months data Missing</v>
          </cell>
          <cell r="X302">
            <v>116</v>
          </cell>
          <cell r="Y302">
            <v>1.3894</v>
          </cell>
          <cell r="Z302">
            <v>-5.3146009373283309</v>
          </cell>
          <cell r="AA302">
            <v>-4.4523299999999999</v>
          </cell>
          <cell r="AB302">
            <v>-4.012993146663856</v>
          </cell>
          <cell r="AC302" t="str">
            <v>J-1,49</v>
          </cell>
          <cell r="AE302">
            <v>10.199999999999999</v>
          </cell>
          <cell r="AF302" t="str">
            <v>16/30</v>
          </cell>
          <cell r="AG302">
            <v>9.1</v>
          </cell>
          <cell r="AH302">
            <v>45.8</v>
          </cell>
          <cell r="AI302">
            <v>420</v>
          </cell>
          <cell r="AJ302">
            <v>2793.1533057790894</v>
          </cell>
          <cell r="AK302">
            <v>1</v>
          </cell>
          <cell r="AL302" t="str">
            <v>1:-4.45233!120.64326</v>
          </cell>
          <cell r="AM302">
            <v>1</v>
          </cell>
          <cell r="AN302">
            <v>-4.4523299999999999</v>
          </cell>
          <cell r="AO302">
            <v>4.6001037136553435</v>
          </cell>
          <cell r="AP302">
            <v>120.64326</v>
          </cell>
          <cell r="AQ302">
            <v>80.964257268490854</v>
          </cell>
          <cell r="AR302">
            <v>2.162150103966761</v>
          </cell>
          <cell r="AS302">
            <v>-1.405502465412038</v>
          </cell>
          <cell r="AT302">
            <v>0</v>
          </cell>
          <cell r="AU302" t="str">
            <v/>
          </cell>
          <cell r="AV302">
            <v>0</v>
          </cell>
          <cell r="AW302" t="str">
            <v>Slight DAMMAGED formation S =-1.4</v>
          </cell>
        </row>
        <row r="303">
          <cell r="C303" t="str">
            <v>Pervomayskoye!145</v>
          </cell>
          <cell r="D303">
            <v>8</v>
          </cell>
          <cell r="E303">
            <v>145</v>
          </cell>
          <cell r="F303">
            <v>2487.4</v>
          </cell>
          <cell r="G303">
            <v>36612</v>
          </cell>
          <cell r="H303">
            <v>237</v>
          </cell>
          <cell r="I303">
            <v>63</v>
          </cell>
          <cell r="J303">
            <v>56.192500000000003</v>
          </cell>
          <cell r="K303">
            <v>70</v>
          </cell>
          <cell r="L303">
            <v>5</v>
          </cell>
          <cell r="M303">
            <v>95</v>
          </cell>
          <cell r="N303">
            <v>1761</v>
          </cell>
          <cell r="O303">
            <v>78.376000000000005</v>
          </cell>
          <cell r="P303">
            <v>0</v>
          </cell>
          <cell r="R303">
            <v>0.44129513818842042</v>
          </cell>
          <cell r="S303">
            <v>0.44129513818842042</v>
          </cell>
          <cell r="T303">
            <v>55.600824302591107</v>
          </cell>
          <cell r="U303" t="str">
            <v>Old</v>
          </cell>
          <cell r="X303">
            <v>59</v>
          </cell>
          <cell r="Y303">
            <v>1.2295</v>
          </cell>
          <cell r="Z303">
            <v>-5.7086382437022332</v>
          </cell>
          <cell r="AA303">
            <v>-4.2653699999999999</v>
          </cell>
          <cell r="AB303">
            <v>-4.2862709187617494</v>
          </cell>
          <cell r="AC303" t="str">
            <v>J-1,56</v>
          </cell>
          <cell r="AE303">
            <v>15.519</v>
          </cell>
          <cell r="AF303" t="str">
            <v>16/30</v>
          </cell>
          <cell r="AG303">
            <v>11.4</v>
          </cell>
          <cell r="AH303">
            <v>31.1</v>
          </cell>
          <cell r="AI303">
            <v>420</v>
          </cell>
          <cell r="AJ303">
            <v>4995.741573281729</v>
          </cell>
          <cell r="AK303">
            <v>1</v>
          </cell>
          <cell r="AL303" t="str">
            <v>1:-4.26537!114.37209</v>
          </cell>
          <cell r="AM303">
            <v>1</v>
          </cell>
          <cell r="AN303">
            <v>-4.2653699999999999</v>
          </cell>
          <cell r="AO303">
            <v>16.01121795488492</v>
          </cell>
          <cell r="AP303">
            <v>114.37209</v>
          </cell>
          <cell r="AQ303">
            <v>55.600824302591107</v>
          </cell>
          <cell r="AR303">
            <v>2.7861143781427384</v>
          </cell>
          <cell r="AS303">
            <v>0.75124660653501252</v>
          </cell>
          <cell r="AT303">
            <v>0</v>
          </cell>
          <cell r="AU303" t="str">
            <v/>
          </cell>
          <cell r="AV303">
            <v>0</v>
          </cell>
          <cell r="AW303" t="str">
            <v>DAMMAGED formation S =0.8</v>
          </cell>
        </row>
        <row r="304">
          <cell r="C304" t="str">
            <v>Pervomayskoye!723</v>
          </cell>
          <cell r="D304">
            <v>45</v>
          </cell>
          <cell r="E304">
            <v>723</v>
          </cell>
          <cell r="F304">
            <v>2514.6999999999998</v>
          </cell>
          <cell r="G304">
            <v>36772</v>
          </cell>
          <cell r="H304">
            <v>231</v>
          </cell>
          <cell r="I304">
            <v>63</v>
          </cell>
          <cell r="J304">
            <v>18.251999999999999</v>
          </cell>
          <cell r="K304">
            <v>24</v>
          </cell>
          <cell r="L304">
            <v>10</v>
          </cell>
          <cell r="M304">
            <v>90</v>
          </cell>
          <cell r="N304">
            <v>1952</v>
          </cell>
          <cell r="O304">
            <v>63.642999999999979</v>
          </cell>
          <cell r="P304">
            <v>0</v>
          </cell>
          <cell r="R304">
            <v>0.14340601229706554</v>
          </cell>
          <cell r="S304">
            <v>0.14340601229706554</v>
          </cell>
          <cell r="T304">
            <v>18.068389618785933</v>
          </cell>
          <cell r="U304" t="str">
            <v>Old</v>
          </cell>
          <cell r="X304">
            <v>31.5</v>
          </cell>
          <cell r="Y304">
            <v>2.5228000000000002</v>
          </cell>
          <cell r="Z304">
            <v>-6.857800900336863</v>
          </cell>
          <cell r="AA304">
            <v>-4.6743899999999998</v>
          </cell>
          <cell r="AB304">
            <v>-4.4297627701343387</v>
          </cell>
          <cell r="AC304" t="str">
            <v>J-1,103</v>
          </cell>
          <cell r="AE304">
            <v>21.805</v>
          </cell>
          <cell r="AF304" t="str">
            <v>16/30</v>
          </cell>
          <cell r="AG304">
            <v>10.6</v>
          </cell>
          <cell r="AH304">
            <v>100.5</v>
          </cell>
          <cell r="AI304">
            <v>420</v>
          </cell>
          <cell r="AJ304">
            <v>2336.068835478065</v>
          </cell>
          <cell r="AK304">
            <v>1</v>
          </cell>
          <cell r="AL304" t="str">
            <v>1:-4.67439!200.50359</v>
          </cell>
          <cell r="AM304">
            <v>1</v>
          </cell>
          <cell r="AN304">
            <v>-4.6743899999999998</v>
          </cell>
          <cell r="AO304">
            <v>1.2288624850127023</v>
          </cell>
          <cell r="AP304">
            <v>200.50359</v>
          </cell>
          <cell r="AQ304">
            <v>18.068389618785933</v>
          </cell>
          <cell r="AR304">
            <v>17.592010479909174</v>
          </cell>
          <cell r="AS304">
            <v>35.14072768030465</v>
          </cell>
          <cell r="AT304">
            <v>0</v>
          </cell>
          <cell r="AU304" t="str">
            <v/>
          </cell>
          <cell r="AV304">
            <v>0</v>
          </cell>
          <cell r="AW304" t="str">
            <v>DAMMAGED formation S =35.1</v>
          </cell>
        </row>
        <row r="305">
          <cell r="C305" t="str">
            <v>Pervomayskoye!547</v>
          </cell>
          <cell r="D305">
            <v>35</v>
          </cell>
          <cell r="E305">
            <v>547</v>
          </cell>
          <cell r="F305">
            <v>2476.5</v>
          </cell>
          <cell r="G305">
            <v>36819</v>
          </cell>
          <cell r="H305">
            <v>244</v>
          </cell>
          <cell r="I305">
            <v>63</v>
          </cell>
          <cell r="J305">
            <v>7.6050000000000004</v>
          </cell>
          <cell r="K305">
            <v>10</v>
          </cell>
          <cell r="L305">
            <v>10</v>
          </cell>
          <cell r="M305">
            <v>90</v>
          </cell>
          <cell r="N305">
            <v>1008</v>
          </cell>
          <cell r="O305">
            <v>145.16499999999999</v>
          </cell>
          <cell r="P305">
            <v>0</v>
          </cell>
          <cell r="R305">
            <v>0.10117873223048514</v>
          </cell>
          <cell r="S305">
            <v>0.10117873223048514</v>
          </cell>
          <cell r="T305">
            <v>12.747978454963482</v>
          </cell>
          <cell r="U305" t="str">
            <v>Old</v>
          </cell>
          <cell r="X305">
            <v>28</v>
          </cell>
          <cell r="Y305">
            <v>0.36880000000000002</v>
          </cell>
          <cell r="Z305">
            <v>-6.030383507797386</v>
          </cell>
          <cell r="AA305">
            <v>-5.3164400000000001</v>
          </cell>
          <cell r="AB305">
            <v>-4.545082527256155</v>
          </cell>
          <cell r="AC305" t="str">
            <v>J-1,105</v>
          </cell>
          <cell r="AE305">
            <v>22.86</v>
          </cell>
          <cell r="AF305" t="str">
            <v>16/30</v>
          </cell>
          <cell r="AG305">
            <v>9.1999999999999993</v>
          </cell>
          <cell r="AH305">
            <v>92.8</v>
          </cell>
          <cell r="AI305">
            <v>420</v>
          </cell>
          <cell r="AJ305">
            <v>3055.9193908480543</v>
          </cell>
          <cell r="AK305">
            <v>1</v>
          </cell>
          <cell r="AL305" t="str">
            <v>0.64648:-5.31644!12.74798</v>
          </cell>
          <cell r="AM305">
            <v>0.64648000000000005</v>
          </cell>
          <cell r="AN305">
            <v>-5.3164400000000001</v>
          </cell>
          <cell r="AO305">
            <v>15.363687524616934</v>
          </cell>
          <cell r="AP305">
            <v>12.74798</v>
          </cell>
          <cell r="AQ305">
            <v>12.747978454963482</v>
          </cell>
          <cell r="AR305">
            <v>2.1644134803859991</v>
          </cell>
          <cell r="AS305">
            <v>-3.2698594066896245</v>
          </cell>
          <cell r="AT305">
            <v>0</v>
          </cell>
          <cell r="AU305" t="str">
            <v/>
          </cell>
          <cell r="AV305">
            <v>0</v>
          </cell>
          <cell r="AW305" t="str">
            <v>Proppant Pack damage=65%</v>
          </cell>
        </row>
        <row r="306">
          <cell r="C306" t="str">
            <v>Pervomayskoye!107</v>
          </cell>
          <cell r="D306">
            <v>8</v>
          </cell>
          <cell r="E306">
            <v>107</v>
          </cell>
          <cell r="F306">
            <v>2478</v>
          </cell>
          <cell r="G306">
            <v>36848</v>
          </cell>
          <cell r="H306">
            <v>235</v>
          </cell>
          <cell r="I306">
            <v>63</v>
          </cell>
          <cell r="J306">
            <v>9.0076999999999998</v>
          </cell>
          <cell r="K306">
            <v>13</v>
          </cell>
          <cell r="L306">
            <v>18</v>
          </cell>
          <cell r="M306">
            <v>82</v>
          </cell>
          <cell r="N306">
            <v>867</v>
          </cell>
          <cell r="O306">
            <v>157.99</v>
          </cell>
          <cell r="P306">
            <v>0</v>
          </cell>
          <cell r="R306">
            <v>0.16880924555252561</v>
          </cell>
          <cell r="S306">
            <v>0.16880924555252561</v>
          </cell>
          <cell r="T306">
            <v>21.269060976174657</v>
          </cell>
          <cell r="U306" t="str">
            <v>Old</v>
          </cell>
          <cell r="X306">
            <v>39.5</v>
          </cell>
          <cell r="Y306">
            <v>0.83799999999999997</v>
          </cell>
          <cell r="Z306">
            <v>-6.3077192891869638</v>
          </cell>
          <cell r="AA306">
            <v>-4.6940799999999996</v>
          </cell>
          <cell r="AB306">
            <v>-4.148687212236716</v>
          </cell>
          <cell r="AC306" t="str">
            <v>J-1,106</v>
          </cell>
          <cell r="AE306">
            <v>13.378</v>
          </cell>
          <cell r="AF306" t="str">
            <v>20/40</v>
          </cell>
          <cell r="AG306">
            <v>4.9000000000000004</v>
          </cell>
          <cell r="AH306">
            <v>65.3</v>
          </cell>
          <cell r="AI306">
            <v>250</v>
          </cell>
          <cell r="AJ306">
            <v>2840.3647896338102</v>
          </cell>
          <cell r="AK306">
            <v>1</v>
          </cell>
          <cell r="AL306" t="str">
            <v>1:-4.69408!66.05492</v>
          </cell>
          <cell r="AM306">
            <v>1</v>
          </cell>
          <cell r="AN306">
            <v>-4.6940799999999996</v>
          </cell>
          <cell r="AO306">
            <v>3.2266499169446683</v>
          </cell>
          <cell r="AP306">
            <v>66.054919999999996</v>
          </cell>
          <cell r="AQ306">
            <v>21.269060976174657</v>
          </cell>
          <cell r="AR306">
            <v>4.9641838700607916</v>
          </cell>
          <cell r="AS306">
            <v>4.7405428715294411</v>
          </cell>
          <cell r="AT306">
            <v>0</v>
          </cell>
          <cell r="AU306" t="str">
            <v/>
          </cell>
          <cell r="AV306">
            <v>0</v>
          </cell>
          <cell r="AW306" t="str">
            <v>DAMMAGED formation S =4.7</v>
          </cell>
        </row>
        <row r="307">
          <cell r="C307" t="str">
            <v>Pervomayskoye!521</v>
          </cell>
          <cell r="D307">
            <v>32</v>
          </cell>
          <cell r="E307">
            <v>521</v>
          </cell>
          <cell r="F307">
            <v>2500</v>
          </cell>
          <cell r="G307">
            <v>36912</v>
          </cell>
          <cell r="H307">
            <v>231</v>
          </cell>
          <cell r="I307">
            <v>63</v>
          </cell>
          <cell r="J307">
            <v>17.153500000000001</v>
          </cell>
          <cell r="K307">
            <v>29</v>
          </cell>
          <cell r="L307">
            <v>30</v>
          </cell>
          <cell r="M307">
            <v>70</v>
          </cell>
          <cell r="N307">
            <v>1124</v>
          </cell>
          <cell r="O307">
            <v>136.84</v>
          </cell>
          <cell r="P307">
            <v>0</v>
          </cell>
          <cell r="R307">
            <v>0.30798640611724715</v>
          </cell>
          <cell r="S307">
            <v>0.30798640611724715</v>
          </cell>
          <cell r="T307">
            <v>38.804637921934102</v>
          </cell>
          <cell r="U307" t="str">
            <v>Old</v>
          </cell>
          <cell r="X307">
            <v>31.75</v>
          </cell>
          <cell r="Y307">
            <v>1.4121999999999999</v>
          </cell>
          <cell r="Z307">
            <v>-6.2443918411806898</v>
          </cell>
          <cell r="AA307">
            <v>-4.5010300000000001</v>
          </cell>
          <cell r="AB307">
            <v>-4.0565852542094527</v>
          </cell>
          <cell r="AC307" t="str">
            <v>J-1,105</v>
          </cell>
          <cell r="AE307">
            <v>17.399999999999999</v>
          </cell>
          <cell r="AF307" t="str">
            <v>20/40</v>
          </cell>
          <cell r="AG307">
            <v>5.3</v>
          </cell>
          <cell r="AH307">
            <v>50.6</v>
          </cell>
          <cell r="AI307">
            <v>250</v>
          </cell>
          <cell r="AJ307">
            <v>4407.7306935315992</v>
          </cell>
          <cell r="AK307">
            <v>1</v>
          </cell>
          <cell r="AL307" t="str">
            <v>1:-4.50103!120.34505</v>
          </cell>
          <cell r="AM307">
            <v>1</v>
          </cell>
          <cell r="AN307">
            <v>-4.5010300000000001</v>
          </cell>
          <cell r="AO307">
            <v>3.8362965646833804</v>
          </cell>
          <cell r="AP307">
            <v>120.34505</v>
          </cell>
          <cell r="AQ307">
            <v>38.804637921934102</v>
          </cell>
          <cell r="AR307">
            <v>4.585258945940037</v>
          </cell>
          <cell r="AS307">
            <v>4.7238986709694677</v>
          </cell>
          <cell r="AT307">
            <v>0</v>
          </cell>
          <cell r="AU307" t="str">
            <v/>
          </cell>
          <cell r="AV307">
            <v>0</v>
          </cell>
          <cell r="AW307" t="str">
            <v>DAMMAGED formation S =4.7</v>
          </cell>
        </row>
        <row r="308">
          <cell r="C308" t="str">
            <v>Pervomayskoye!88</v>
          </cell>
          <cell r="D308">
            <v>7</v>
          </cell>
          <cell r="E308">
            <v>88</v>
          </cell>
          <cell r="F308">
            <v>2492</v>
          </cell>
          <cell r="G308">
            <v>36912</v>
          </cell>
          <cell r="H308">
            <v>230</v>
          </cell>
          <cell r="I308">
            <v>63</v>
          </cell>
          <cell r="J308">
            <v>1.6731</v>
          </cell>
          <cell r="K308">
            <v>2</v>
          </cell>
          <cell r="L308">
            <v>1</v>
          </cell>
          <cell r="M308">
            <v>99</v>
          </cell>
          <cell r="N308">
            <v>1300</v>
          </cell>
          <cell r="O308">
            <v>120.28</v>
          </cell>
          <cell r="P308">
            <v>0</v>
          </cell>
          <cell r="R308">
            <v>1.8228217280349981E-2</v>
          </cell>
          <cell r="S308">
            <v>1.8228217280349981E-2</v>
          </cell>
          <cell r="T308">
            <v>2.2966577663075389</v>
          </cell>
          <cell r="U308" t="str">
            <v>Old</v>
          </cell>
          <cell r="V308" t="str">
            <v>First 7 months data Missing</v>
          </cell>
          <cell r="X308">
            <v>293</v>
          </cell>
          <cell r="Y308">
            <v>1.61E-2</v>
          </cell>
          <cell r="Z308">
            <v>-2.7669943592158441</v>
          </cell>
          <cell r="AA308">
            <v>-2.3770699999999998</v>
          </cell>
          <cell r="AB308">
            <v>-4.3728266527272837</v>
          </cell>
          <cell r="AC308" t="str">
            <v>J-1,102</v>
          </cell>
          <cell r="AE308">
            <v>16.600000000000001</v>
          </cell>
          <cell r="AF308" t="str">
            <v>20/40</v>
          </cell>
          <cell r="AG308">
            <v>6.9</v>
          </cell>
          <cell r="AH308">
            <v>156.9</v>
          </cell>
          <cell r="AI308">
            <v>250</v>
          </cell>
          <cell r="AJ308">
            <v>1041.6654116480984</v>
          </cell>
          <cell r="AK308">
            <v>1</v>
          </cell>
          <cell r="AL308" t="str">
            <v>0.00262:-2.37707!2.29666</v>
          </cell>
          <cell r="AM308">
            <v>2.6199999999999999E-3</v>
          </cell>
          <cell r="AN308">
            <v>-2.3770699999999998</v>
          </cell>
          <cell r="AO308">
            <v>5.2258744971989672E-2</v>
          </cell>
          <cell r="AP308">
            <v>2.2966600000000001</v>
          </cell>
          <cell r="AQ308">
            <v>2.2966577663075389</v>
          </cell>
          <cell r="AR308">
            <v>0.80992241269958909</v>
          </cell>
          <cell r="AS308">
            <v>-3.2698561678611222</v>
          </cell>
          <cell r="AT308">
            <v>0</v>
          </cell>
          <cell r="AU308" t="str">
            <v/>
          </cell>
          <cell r="AV308">
            <v>0</v>
          </cell>
          <cell r="AW308" t="str">
            <v>Proppant Pack damage=0%</v>
          </cell>
        </row>
        <row r="309">
          <cell r="C309" t="str">
            <v>Pervomayskoye!544</v>
          </cell>
          <cell r="D309">
            <v>32</v>
          </cell>
          <cell r="E309">
            <v>544</v>
          </cell>
          <cell r="F309">
            <v>2461</v>
          </cell>
          <cell r="G309">
            <v>36879</v>
          </cell>
          <cell r="H309">
            <v>200</v>
          </cell>
          <cell r="I309">
            <v>63</v>
          </cell>
          <cell r="J309">
            <v>11.001899999999999</v>
          </cell>
          <cell r="K309">
            <v>14</v>
          </cell>
          <cell r="L309">
            <v>7</v>
          </cell>
          <cell r="M309">
            <v>93</v>
          </cell>
          <cell r="N309">
            <v>1255</v>
          </cell>
          <cell r="O309">
            <v>121.54</v>
          </cell>
          <cell r="P309">
            <v>0</v>
          </cell>
          <cell r="R309">
            <v>0.17843487127198571</v>
          </cell>
          <cell r="S309">
            <v>0.17843487127198571</v>
          </cell>
          <cell r="T309">
            <v>22.481838272174894</v>
          </cell>
          <cell r="U309" t="str">
            <v>Old</v>
          </cell>
          <cell r="X309">
            <v>4</v>
          </cell>
          <cell r="Y309">
            <v>0.48230000000000001</v>
          </cell>
          <cell r="Z309">
            <v>-5.6666243547510042</v>
          </cell>
          <cell r="AA309">
            <v>-4.4487800000000002</v>
          </cell>
          <cell r="AB309">
            <v>-4.6065849516818185</v>
          </cell>
          <cell r="AC309" t="str">
            <v>J-1,101</v>
          </cell>
          <cell r="AE309">
            <v>18.100000000000001</v>
          </cell>
          <cell r="AF309" t="str">
            <v>20/40</v>
          </cell>
          <cell r="AG309">
            <v>6.9</v>
          </cell>
          <cell r="AH309">
            <v>68</v>
          </cell>
          <cell r="AI309">
            <v>250</v>
          </cell>
          <cell r="AJ309">
            <v>2620.6725601393673</v>
          </cell>
          <cell r="AK309">
            <v>1</v>
          </cell>
          <cell r="AL309" t="str">
            <v>0.13654:-4.44878!22.48184</v>
          </cell>
          <cell r="AM309">
            <v>0.13653999999999999</v>
          </cell>
          <cell r="AN309">
            <v>-4.4487800000000002</v>
          </cell>
          <cell r="AO309">
            <v>1.6150314551877412</v>
          </cell>
          <cell r="AP309">
            <v>22.481839999999998</v>
          </cell>
          <cell r="AQ309">
            <v>22.481838272174894</v>
          </cell>
          <cell r="AR309">
            <v>1.4490669240272511</v>
          </cell>
          <cell r="AS309">
            <v>-3.2698595753835509</v>
          </cell>
          <cell r="AT309">
            <v>0</v>
          </cell>
          <cell r="AU309" t="str">
            <v/>
          </cell>
          <cell r="AV309">
            <v>0</v>
          </cell>
          <cell r="AW309" t="str">
            <v>Proppant Pack damage=14%</v>
          </cell>
        </row>
        <row r="310">
          <cell r="C310" t="str">
            <v>Zapadno-Poludennoye!513</v>
          </cell>
          <cell r="D310">
            <v>22</v>
          </cell>
          <cell r="E310">
            <v>513</v>
          </cell>
          <cell r="F310">
            <v>1705.25</v>
          </cell>
          <cell r="G310">
            <v>36665</v>
          </cell>
          <cell r="H310">
            <v>127</v>
          </cell>
          <cell r="I310">
            <v>79</v>
          </cell>
          <cell r="J310">
            <v>56.344320000000003</v>
          </cell>
          <cell r="K310">
            <v>67</v>
          </cell>
          <cell r="L310">
            <v>4</v>
          </cell>
          <cell r="M310">
            <v>96</v>
          </cell>
          <cell r="N310">
            <v>825</v>
          </cell>
          <cell r="O310">
            <v>92.222499999999997</v>
          </cell>
          <cell r="P310">
            <v>0</v>
          </cell>
          <cell r="R310">
            <v>1.9265329595284306</v>
          </cell>
          <cell r="S310">
            <v>1.9265329595284306</v>
          </cell>
          <cell r="T310">
            <v>451.37203824111987</v>
          </cell>
          <cell r="U310" t="str">
            <v>Old</v>
          </cell>
          <cell r="X310">
            <v>36.25</v>
          </cell>
          <cell r="Y310">
            <v>9.7523</v>
          </cell>
          <cell r="Z310">
            <v>-5.6765928154936329</v>
          </cell>
          <cell r="AA310">
            <v>-3.16947</v>
          </cell>
          <cell r="AB310">
            <v>-2.8898434468400707</v>
          </cell>
          <cell r="AC310" t="str">
            <v>A-1/3,99</v>
          </cell>
          <cell r="AE310">
            <v>24.067</v>
          </cell>
          <cell r="AF310" t="str">
            <v>20/40</v>
          </cell>
          <cell r="AG310">
            <v>13.5</v>
          </cell>
          <cell r="AH310">
            <v>68.900000000000006</v>
          </cell>
          <cell r="AI310">
            <v>250</v>
          </cell>
          <cell r="AJ310">
            <v>1757.7663957893653</v>
          </cell>
          <cell r="AK310">
            <v>1</v>
          </cell>
          <cell r="AL310" t="str">
            <v>1:-3.16947!1261.16388</v>
          </cell>
          <cell r="AM310">
            <v>1</v>
          </cell>
          <cell r="AN310">
            <v>-3.16947</v>
          </cell>
          <cell r="AO310">
            <v>0.27308898304250151</v>
          </cell>
          <cell r="AP310">
            <v>1261.1638800000001</v>
          </cell>
          <cell r="AQ310">
            <v>451.37203824111987</v>
          </cell>
          <cell r="AR310">
            <v>5.0621017540999853</v>
          </cell>
          <cell r="AS310">
            <v>12.691315062716065</v>
          </cell>
          <cell r="AT310">
            <v>0</v>
          </cell>
          <cell r="AU310" t="str">
            <v/>
          </cell>
          <cell r="AV310">
            <v>0</v>
          </cell>
          <cell r="AW310" t="str">
            <v>DAMMAGED formation S =12.7</v>
          </cell>
        </row>
        <row r="311">
          <cell r="C311" t="str">
            <v>Zapadno-Poludennoye!586</v>
          </cell>
          <cell r="D311">
            <v>19</v>
          </cell>
          <cell r="E311">
            <v>586</v>
          </cell>
          <cell r="F311">
            <v>1719.9</v>
          </cell>
          <cell r="G311">
            <v>36669</v>
          </cell>
          <cell r="H311">
            <v>105</v>
          </cell>
          <cell r="I311">
            <v>79</v>
          </cell>
          <cell r="J311">
            <v>53.821439999999996</v>
          </cell>
          <cell r="K311">
            <v>64</v>
          </cell>
          <cell r="L311">
            <v>4</v>
          </cell>
          <cell r="M311">
            <v>96</v>
          </cell>
          <cell r="N311">
            <v>1190</v>
          </cell>
          <cell r="O311">
            <v>60.69100000000001</v>
          </cell>
          <cell r="P311">
            <v>0</v>
          </cell>
          <cell r="R311">
            <v>1.5086122045860857</v>
          </cell>
          <cell r="S311">
            <v>1.5086122045860857</v>
          </cell>
          <cell r="T311">
            <v>353.45637993451714</v>
          </cell>
          <cell r="U311" t="str">
            <v>Old</v>
          </cell>
          <cell r="X311">
            <v>46.67</v>
          </cell>
          <cell r="Y311">
            <v>10.030099999999999</v>
          </cell>
          <cell r="Z311">
            <v>-6.0100494257991821</v>
          </cell>
          <cell r="AA311">
            <v>-3.6020699999999999</v>
          </cell>
          <cell r="AB311">
            <v>-3.4802912023049313</v>
          </cell>
          <cell r="AC311" t="str">
            <v>A-1/3,101</v>
          </cell>
          <cell r="AE311">
            <v>29.515000000000001</v>
          </cell>
          <cell r="AF311" t="str">
            <v>20/40</v>
          </cell>
          <cell r="AG311">
            <v>13.5</v>
          </cell>
          <cell r="AH311">
            <v>52.1</v>
          </cell>
          <cell r="AI311">
            <v>250</v>
          </cell>
          <cell r="AJ311">
            <v>2850.7785721129621</v>
          </cell>
          <cell r="AK311">
            <v>1</v>
          </cell>
          <cell r="AL311" t="str">
            <v>1:-3.60207!1153.38078</v>
          </cell>
          <cell r="AM311">
            <v>1</v>
          </cell>
          <cell r="AN311">
            <v>-3.6020699999999999</v>
          </cell>
          <cell r="AO311">
            <v>0.64045234614988311</v>
          </cell>
          <cell r="AP311">
            <v>1153.38078</v>
          </cell>
          <cell r="AQ311">
            <v>353.45637993451714</v>
          </cell>
          <cell r="AR311">
            <v>6.6485669943652868</v>
          </cell>
          <cell r="AS311">
            <v>16.009619100150907</v>
          </cell>
          <cell r="AT311">
            <v>0</v>
          </cell>
          <cell r="AU311" t="str">
            <v/>
          </cell>
          <cell r="AV311">
            <v>0</v>
          </cell>
          <cell r="AW311" t="str">
            <v>DAMMAGED formation S =16.0</v>
          </cell>
        </row>
        <row r="312">
          <cell r="C312" t="str">
            <v>Zapadno-Poludennoye!167</v>
          </cell>
          <cell r="D312">
            <v>18</v>
          </cell>
          <cell r="E312">
            <v>167</v>
          </cell>
          <cell r="F312">
            <v>1716.9</v>
          </cell>
          <cell r="G312">
            <v>36828</v>
          </cell>
          <cell r="H312">
            <v>118</v>
          </cell>
          <cell r="I312">
            <v>79</v>
          </cell>
          <cell r="J312">
            <v>40.392359999999996</v>
          </cell>
          <cell r="K312">
            <v>53</v>
          </cell>
          <cell r="L312">
            <v>13</v>
          </cell>
          <cell r="M312">
            <v>87</v>
          </cell>
          <cell r="N312">
            <v>780</v>
          </cell>
          <cell r="O312">
            <v>97.321000000000012</v>
          </cell>
          <cell r="P312">
            <v>0</v>
          </cell>
          <cell r="R312">
            <v>2.5629866047681236</v>
          </cell>
          <cell r="S312">
            <v>2.5629866047681236</v>
          </cell>
          <cell r="T312">
            <v>600.48829274223635</v>
          </cell>
          <cell r="U312" t="str">
            <v>Old</v>
          </cell>
          <cell r="X312">
            <v>25</v>
          </cell>
          <cell r="Y312">
            <v>2.6385000000000001</v>
          </cell>
          <cell r="Z312">
            <v>-0.20245792393643036</v>
          </cell>
          <cell r="AA312">
            <v>0</v>
          </cell>
          <cell r="AB312">
            <v>-3.0716692370787833</v>
          </cell>
          <cell r="AC312" t="str">
            <v>A-1/3,102</v>
          </cell>
          <cell r="AE312">
            <v>20.663</v>
          </cell>
          <cell r="AF312" t="str">
            <v>16/30</v>
          </cell>
          <cell r="AG312">
            <v>7.4</v>
          </cell>
          <cell r="AH312">
            <v>59.8</v>
          </cell>
          <cell r="AI312">
            <v>420</v>
          </cell>
          <cell r="AJ312">
            <v>5329.1990732917011</v>
          </cell>
          <cell r="AK312">
            <v>1</v>
          </cell>
          <cell r="AL312" t="str">
            <v>0.00000:0.00000!600.48829</v>
          </cell>
          <cell r="AM312">
            <v>0</v>
          </cell>
          <cell r="AN312">
            <v>0</v>
          </cell>
          <cell r="AO312">
            <v>0</v>
          </cell>
          <cell r="AP312">
            <v>600.48829000000001</v>
          </cell>
          <cell r="AQ312">
            <v>600.48829274223635</v>
          </cell>
          <cell r="AR312">
            <v>0.99999999999999978</v>
          </cell>
          <cell r="AS312" t="str">
            <v/>
          </cell>
          <cell r="AT312">
            <v>0</v>
          </cell>
          <cell r="AU312" t="str">
            <v/>
          </cell>
          <cell r="AV312">
            <v>0</v>
          </cell>
          <cell r="AW312" t="str">
            <v>Proppant Pack damage=0%</v>
          </cell>
        </row>
        <row r="313">
          <cell r="C313" t="str">
            <v>Zapadno-Poludennoye!320</v>
          </cell>
          <cell r="D313">
            <v>16</v>
          </cell>
          <cell r="E313">
            <v>320</v>
          </cell>
          <cell r="F313">
            <v>1728.25</v>
          </cell>
          <cell r="G313">
            <v>36826</v>
          </cell>
          <cell r="H313">
            <v>136</v>
          </cell>
          <cell r="I313">
            <v>79</v>
          </cell>
          <cell r="J313">
            <v>68.240400000000008</v>
          </cell>
          <cell r="K313">
            <v>82</v>
          </cell>
          <cell r="L313">
            <v>5</v>
          </cell>
          <cell r="M313">
            <v>95</v>
          </cell>
          <cell r="N313">
            <v>876</v>
          </cell>
          <cell r="O313">
            <v>89.702500000000001</v>
          </cell>
          <cell r="P313">
            <v>0</v>
          </cell>
          <cell r="R313">
            <v>1.7711539499973001</v>
          </cell>
          <cell r="S313">
            <v>1.7711539499973001</v>
          </cell>
          <cell r="T313">
            <v>414.96791658564604</v>
          </cell>
          <cell r="U313" t="str">
            <v>Old</v>
          </cell>
          <cell r="X313">
            <v>27.19</v>
          </cell>
          <cell r="Y313">
            <v>3.5802999999999998</v>
          </cell>
          <cell r="Z313">
            <v>-3.5745558746691657</v>
          </cell>
          <cell r="AA313">
            <v>-3.5747399999999998</v>
          </cell>
          <cell r="AB313">
            <v>-2.8588812826722929</v>
          </cell>
          <cell r="AC313" t="str">
            <v>A-1/3,101</v>
          </cell>
          <cell r="AE313">
            <v>14.132999999999999</v>
          </cell>
          <cell r="AF313" t="str">
            <v>16/30</v>
          </cell>
          <cell r="AG313">
            <v>4.8</v>
          </cell>
          <cell r="AH313">
            <v>75.599999999999994</v>
          </cell>
          <cell r="AI313">
            <v>420</v>
          </cell>
          <cell r="AJ313">
            <v>4445.0105676328503</v>
          </cell>
          <cell r="AK313">
            <v>1</v>
          </cell>
          <cell r="AL313" t="str">
            <v>0.57568:-3.57474!414.96792</v>
          </cell>
          <cell r="AM313">
            <v>0.57567999999999997</v>
          </cell>
          <cell r="AN313">
            <v>-3.5747399999999998</v>
          </cell>
          <cell r="AO313">
            <v>0.39152442229175544</v>
          </cell>
          <cell r="AP313">
            <v>414.96791999999999</v>
          </cell>
          <cell r="AQ313">
            <v>414.96791658564604</v>
          </cell>
          <cell r="AR313">
            <v>2.0215568426738559</v>
          </cell>
          <cell r="AS313">
            <v>5.8205214870099553E-8</v>
          </cell>
          <cell r="AT313">
            <v>0</v>
          </cell>
          <cell r="AU313" t="str">
            <v/>
          </cell>
          <cell r="AV313">
            <v>0</v>
          </cell>
          <cell r="AW313" t="str">
            <v>Proppant Pack damage=58%</v>
          </cell>
        </row>
        <row r="314">
          <cell r="C314" t="str">
            <v>Zapadno-Poludennoye!575</v>
          </cell>
          <cell r="D314">
            <v>19</v>
          </cell>
          <cell r="E314">
            <v>575</v>
          </cell>
          <cell r="F314">
            <v>1719.45</v>
          </cell>
          <cell r="G314">
            <v>36828</v>
          </cell>
          <cell r="H314">
            <v>125</v>
          </cell>
          <cell r="I314">
            <v>79</v>
          </cell>
          <cell r="J314">
            <v>61.670400000000008</v>
          </cell>
          <cell r="K314">
            <v>80</v>
          </cell>
          <cell r="L314">
            <v>12</v>
          </cell>
          <cell r="M314">
            <v>88</v>
          </cell>
          <cell r="N314">
            <v>920</v>
          </cell>
          <cell r="O314">
            <v>84.950500000000005</v>
          </cell>
          <cell r="P314">
            <v>0</v>
          </cell>
          <cell r="R314">
            <v>1.9975280590269544</v>
          </cell>
          <cell r="S314">
            <v>1.9975280590269544</v>
          </cell>
          <cell r="T314">
            <v>468.00565076629744</v>
          </cell>
          <cell r="U314" t="str">
            <v>Old</v>
          </cell>
          <cell r="X314">
            <v>30.11</v>
          </cell>
          <cell r="Y314">
            <v>3.3134999999999999</v>
          </cell>
          <cell r="Z314">
            <v>-2.8094902850276711</v>
          </cell>
          <cell r="AA314">
            <v>-2.8098700000000001</v>
          </cell>
          <cell r="AB314">
            <v>-3.3240797192803235</v>
          </cell>
          <cell r="AC314" t="str">
            <v>A-1/3,113</v>
          </cell>
          <cell r="AE314">
            <v>23.02</v>
          </cell>
          <cell r="AF314" t="str">
            <v>16/30</v>
          </cell>
          <cell r="AG314">
            <v>11.7</v>
          </cell>
          <cell r="AH314">
            <v>64.099999999999994</v>
          </cell>
          <cell r="AI314">
            <v>420</v>
          </cell>
          <cell r="AJ314">
            <v>3503.1836056050938</v>
          </cell>
          <cell r="AK314">
            <v>1</v>
          </cell>
          <cell r="AL314" t="str">
            <v>0.14514:-2.80987!468.00565</v>
          </cell>
          <cell r="AM314">
            <v>0.14513999999999999</v>
          </cell>
          <cell r="AN314">
            <v>-2.8098700000000001</v>
          </cell>
          <cell r="AO314">
            <v>0.19830184486270708</v>
          </cell>
          <cell r="AP314">
            <v>468.00565</v>
          </cell>
          <cell r="AQ314">
            <v>468.00565076629744</v>
          </cell>
          <cell r="AR314">
            <v>1.6589479404335721</v>
          </cell>
          <cell r="AS314" t="str">
            <v/>
          </cell>
          <cell r="AT314">
            <v>0</v>
          </cell>
          <cell r="AU314" t="str">
            <v/>
          </cell>
          <cell r="AV314">
            <v>0</v>
          </cell>
          <cell r="AW314" t="str">
            <v>Proppant Pack damage=15%</v>
          </cell>
        </row>
        <row r="315">
          <cell r="C315" t="str">
            <v>Zapadno-Poludennoye!186</v>
          </cell>
          <cell r="D315">
            <v>18</v>
          </cell>
          <cell r="E315">
            <v>186</v>
          </cell>
          <cell r="F315">
            <v>1724.8</v>
          </cell>
          <cell r="G315">
            <v>36842</v>
          </cell>
          <cell r="H315">
            <v>125</v>
          </cell>
          <cell r="I315">
            <v>79</v>
          </cell>
          <cell r="J315">
            <v>33.761040000000001</v>
          </cell>
          <cell r="K315">
            <v>41</v>
          </cell>
          <cell r="L315">
            <v>6</v>
          </cell>
          <cell r="M315">
            <v>94</v>
          </cell>
          <cell r="N315">
            <v>671</v>
          </cell>
          <cell r="O315">
            <v>107.842</v>
          </cell>
          <cell r="P315">
            <v>0</v>
          </cell>
          <cell r="R315">
            <v>2.3895558922951392</v>
          </cell>
          <cell r="S315">
            <v>2.3895558922951392</v>
          </cell>
          <cell r="T315">
            <v>559.85479421039599</v>
          </cell>
          <cell r="U315" t="str">
            <v>Old</v>
          </cell>
          <cell r="X315">
            <v>22.25</v>
          </cell>
          <cell r="Y315">
            <v>4.6242000000000001</v>
          </cell>
          <cell r="Z315">
            <v>-3.418531905149667</v>
          </cell>
          <cell r="AA315">
            <v>-3.41865</v>
          </cell>
          <cell r="AB315">
            <v>-3.0783598433495989</v>
          </cell>
          <cell r="AC315" t="str">
            <v>A-1/3,103</v>
          </cell>
          <cell r="AE315">
            <v>19</v>
          </cell>
          <cell r="AF315" t="str">
            <v>16/30</v>
          </cell>
          <cell r="AG315">
            <v>10.1</v>
          </cell>
          <cell r="AH315">
            <v>58.5</v>
          </cell>
          <cell r="AI315">
            <v>420</v>
          </cell>
          <cell r="AJ315">
            <v>3670.0994514167132</v>
          </cell>
          <cell r="AK315">
            <v>1</v>
          </cell>
          <cell r="AL315" t="str">
            <v>0.38965:-3.41865!559.85479</v>
          </cell>
          <cell r="AM315">
            <v>0.38965</v>
          </cell>
          <cell r="AN315">
            <v>-3.41865</v>
          </cell>
          <cell r="AO315">
            <v>0.44100409562106524</v>
          </cell>
          <cell r="AP315">
            <v>559.85478999999998</v>
          </cell>
          <cell r="AQ315">
            <v>559.85479421039599</v>
          </cell>
          <cell r="AR315">
            <v>1.9352338268813634</v>
          </cell>
          <cell r="AS315" t="str">
            <v/>
          </cell>
          <cell r="AT315">
            <v>0</v>
          </cell>
          <cell r="AU315" t="str">
            <v/>
          </cell>
          <cell r="AV315">
            <v>0</v>
          </cell>
          <cell r="AW315" t="str">
            <v>Proppant Pack damage=39%</v>
          </cell>
        </row>
        <row r="316">
          <cell r="C316" t="str">
            <v>Zapadno-Poludennoye!449</v>
          </cell>
          <cell r="D316">
            <v>27</v>
          </cell>
          <cell r="E316">
            <v>449</v>
          </cell>
          <cell r="F316">
            <v>1725.65</v>
          </cell>
          <cell r="G316">
            <v>36846</v>
          </cell>
          <cell r="H316">
            <v>128</v>
          </cell>
          <cell r="I316">
            <v>79</v>
          </cell>
          <cell r="J316">
            <v>66.891360000000006</v>
          </cell>
          <cell r="K316">
            <v>83</v>
          </cell>
          <cell r="L316">
            <v>8</v>
          </cell>
          <cell r="M316">
            <v>92</v>
          </cell>
          <cell r="N316">
            <v>1270</v>
          </cell>
          <cell r="O316">
            <v>54.008500000000005</v>
          </cell>
          <cell r="P316">
            <v>0</v>
          </cell>
          <cell r="R316">
            <v>1.1776772075926867</v>
          </cell>
          <cell r="S316">
            <v>1.1776772075926867</v>
          </cell>
          <cell r="T316">
            <v>275.9208239610586</v>
          </cell>
          <cell r="U316" t="str">
            <v>Old</v>
          </cell>
          <cell r="X316">
            <v>24.27</v>
          </cell>
          <cell r="Y316">
            <v>5.5044000000000004</v>
          </cell>
          <cell r="Z316">
            <v>-5.5605399516223297</v>
          </cell>
          <cell r="AA316">
            <v>-3.57918</v>
          </cell>
          <cell r="AB316">
            <v>-2.7257909971812602</v>
          </cell>
          <cell r="AC316" t="str">
            <v>A-1/3,64</v>
          </cell>
          <cell r="AE316">
            <v>10.673</v>
          </cell>
          <cell r="AF316" t="str">
            <v>16/30</v>
          </cell>
          <cell r="AG316">
            <v>3.6</v>
          </cell>
          <cell r="AH316">
            <v>62</v>
          </cell>
          <cell r="AI316">
            <v>420</v>
          </cell>
          <cell r="AJ316">
            <v>5457.5005843852259</v>
          </cell>
          <cell r="AK316">
            <v>1</v>
          </cell>
          <cell r="AL316" t="str">
            <v>1:-3.57918!637.13412</v>
          </cell>
          <cell r="AM316">
            <v>1</v>
          </cell>
          <cell r="AN316">
            <v>-3.57918</v>
          </cell>
          <cell r="AO316">
            <v>0.49736330351643843</v>
          </cell>
          <cell r="AP316">
            <v>637.13412000000005</v>
          </cell>
          <cell r="AQ316">
            <v>275.9208239610586</v>
          </cell>
          <cell r="AR316">
            <v>4.6739464797335328</v>
          </cell>
          <cell r="AS316">
            <v>9.2607706777258443</v>
          </cell>
          <cell r="AT316">
            <v>0</v>
          </cell>
          <cell r="AU316" t="str">
            <v/>
          </cell>
          <cell r="AV316">
            <v>0</v>
          </cell>
          <cell r="AW316" t="str">
            <v>DAMMAGED formation S =9.3</v>
          </cell>
        </row>
        <row r="317">
          <cell r="C317" t="str">
            <v>Zapadno-Poludennoye!523</v>
          </cell>
          <cell r="D317">
            <v>21</v>
          </cell>
          <cell r="E317">
            <v>523</v>
          </cell>
          <cell r="F317">
            <v>1725</v>
          </cell>
          <cell r="G317">
            <v>36858</v>
          </cell>
          <cell r="H317">
            <v>142</v>
          </cell>
          <cell r="I317">
            <v>79</v>
          </cell>
          <cell r="J317">
            <v>99.864000000000004</v>
          </cell>
          <cell r="K317">
            <v>120</v>
          </cell>
          <cell r="L317">
            <v>5</v>
          </cell>
          <cell r="M317">
            <v>95</v>
          </cell>
          <cell r="N317">
            <v>704</v>
          </cell>
          <cell r="O317">
            <v>104.89</v>
          </cell>
          <cell r="P317">
            <v>0</v>
          </cell>
          <cell r="R317">
            <v>3.2336297493936943</v>
          </cell>
          <cell r="S317">
            <v>3.2336297493936943</v>
          </cell>
          <cell r="T317">
            <v>757.61488724190906</v>
          </cell>
          <cell r="U317" t="str">
            <v>Old</v>
          </cell>
          <cell r="X317">
            <v>30</v>
          </cell>
          <cell r="Y317">
            <v>2.3193000000000001</v>
          </cell>
          <cell r="Z317">
            <v>2.7887770949448951</v>
          </cell>
          <cell r="AA317">
            <v>0</v>
          </cell>
          <cell r="AB317">
            <v>-2.3894286081842342</v>
          </cell>
          <cell r="AC317" t="str">
            <v>A-1/3,2</v>
          </cell>
          <cell r="AE317">
            <v>15.584</v>
          </cell>
          <cell r="AF317" t="str">
            <v>16/30</v>
          </cell>
          <cell r="AG317">
            <v>8.5</v>
          </cell>
          <cell r="AH317">
            <v>75</v>
          </cell>
          <cell r="AI317">
            <v>420</v>
          </cell>
          <cell r="AJ317">
            <v>2789.9744245524294</v>
          </cell>
          <cell r="AK317">
            <v>1</v>
          </cell>
          <cell r="AL317" t="str">
            <v>0.00000:0.00000!757.61489</v>
          </cell>
          <cell r="AM317">
            <v>0</v>
          </cell>
          <cell r="AN317">
            <v>0</v>
          </cell>
          <cell r="AO317">
            <v>0</v>
          </cell>
          <cell r="AP317">
            <v>757.61488999999995</v>
          </cell>
          <cell r="AQ317">
            <v>757.61488724190906</v>
          </cell>
          <cell r="AR317">
            <v>1.0000000000000002</v>
          </cell>
          <cell r="AS317">
            <v>2.5753006838158399E-8</v>
          </cell>
          <cell r="AT317">
            <v>0</v>
          </cell>
          <cell r="AU317" t="str">
            <v/>
          </cell>
          <cell r="AV317">
            <v>0</v>
          </cell>
          <cell r="AW317" t="str">
            <v>Proppant Pack damage=0%</v>
          </cell>
        </row>
        <row r="318">
          <cell r="C318" t="str">
            <v>Zapadno-Poludennoye!571</v>
          </cell>
          <cell r="D318">
            <v>19</v>
          </cell>
          <cell r="E318">
            <v>571</v>
          </cell>
          <cell r="F318">
            <v>1716</v>
          </cell>
          <cell r="G318">
            <v>36864</v>
          </cell>
          <cell r="H318">
            <v>155</v>
          </cell>
          <cell r="I318">
            <v>79</v>
          </cell>
          <cell r="J318">
            <v>16.819199999999999</v>
          </cell>
          <cell r="K318">
            <v>20</v>
          </cell>
          <cell r="L318">
            <v>4</v>
          </cell>
          <cell r="M318">
            <v>96</v>
          </cell>
          <cell r="N318">
            <v>642</v>
          </cell>
          <cell r="O318">
            <v>109.66</v>
          </cell>
          <cell r="P318">
            <v>0</v>
          </cell>
          <cell r="R318">
            <v>0.44111160123511245</v>
          </cell>
          <cell r="S318">
            <v>0.44111160123511245</v>
          </cell>
          <cell r="T318">
            <v>103.34909743253655</v>
          </cell>
          <cell r="U318" t="str">
            <v>Old</v>
          </cell>
          <cell r="X318">
            <v>1</v>
          </cell>
          <cell r="Y318">
            <v>1.2827</v>
          </cell>
          <cell r="Z318">
            <v>-4.6413308295514826</v>
          </cell>
          <cell r="AA318">
            <v>-3.5116399999999999</v>
          </cell>
          <cell r="AB318">
            <v>-3.9775087155330588</v>
          </cell>
          <cell r="AC318" t="str">
            <v>A-1/3,103</v>
          </cell>
          <cell r="AE318">
            <v>12.779</v>
          </cell>
          <cell r="AF318" t="str">
            <v>16/30</v>
          </cell>
          <cell r="AG318">
            <v>5.4</v>
          </cell>
          <cell r="AH318">
            <v>74.5</v>
          </cell>
          <cell r="AI318">
            <v>420</v>
          </cell>
          <cell r="AJ318">
            <v>3625.3363810264887</v>
          </cell>
          <cell r="AK318">
            <v>1</v>
          </cell>
          <cell r="AL318" t="str">
            <v>0.14624:-3.51164!103.34910</v>
          </cell>
          <cell r="AM318">
            <v>0.14624000000000001</v>
          </cell>
          <cell r="AN318">
            <v>-3.5116399999999999</v>
          </cell>
          <cell r="AO318">
            <v>0.37183072702082143</v>
          </cell>
          <cell r="AP318">
            <v>103.34910000000001</v>
          </cell>
          <cell r="AQ318">
            <v>103.34909743253655</v>
          </cell>
          <cell r="AR318">
            <v>1.9857495157201104</v>
          </cell>
          <cell r="AS318">
            <v>1.7573791222247337E-7</v>
          </cell>
          <cell r="AT318">
            <v>0</v>
          </cell>
          <cell r="AU318" t="str">
            <v/>
          </cell>
          <cell r="AV318">
            <v>0</v>
          </cell>
          <cell r="AW318" t="str">
            <v>Proppant Pack damage=15%</v>
          </cell>
        </row>
        <row r="319">
          <cell r="C319" t="str">
            <v>Zapadno-Poludennoye!448</v>
          </cell>
          <cell r="D319">
            <v>27</v>
          </cell>
          <cell r="E319">
            <v>448</v>
          </cell>
          <cell r="F319">
            <v>1733</v>
          </cell>
          <cell r="G319">
            <v>36874</v>
          </cell>
          <cell r="H319">
            <v>132</v>
          </cell>
          <cell r="I319">
            <v>79</v>
          </cell>
          <cell r="J319">
            <v>33.287999999999997</v>
          </cell>
          <cell r="K319">
            <v>40</v>
          </cell>
          <cell r="L319">
            <v>5</v>
          </cell>
          <cell r="M319">
            <v>95</v>
          </cell>
          <cell r="N319">
            <v>1160</v>
          </cell>
          <cell r="O319">
            <v>64.569999999999993</v>
          </cell>
          <cell r="P319">
            <v>0</v>
          </cell>
          <cell r="R319">
            <v>0.60369565669249359</v>
          </cell>
          <cell r="S319">
            <v>0.60369565669249359</v>
          </cell>
          <cell r="T319">
            <v>141.44130661813415</v>
          </cell>
          <cell r="U319" t="str">
            <v>Old</v>
          </cell>
          <cell r="X319">
            <v>30.34</v>
          </cell>
          <cell r="Y319">
            <v>1.0367999999999999</v>
          </cell>
          <cell r="Z319">
            <v>-2.9550540625569051</v>
          </cell>
          <cell r="AA319">
            <v>-2.9550999999999998</v>
          </cell>
          <cell r="AB319">
            <v>-3.944664056388822</v>
          </cell>
          <cell r="AC319" t="str">
            <v>A-1/3,102</v>
          </cell>
          <cell r="AE319">
            <v>14.545999999999999</v>
          </cell>
          <cell r="AF319" t="str">
            <v>16/30</v>
          </cell>
          <cell r="AG319">
            <v>8.6</v>
          </cell>
          <cell r="AH319">
            <v>60</v>
          </cell>
          <cell r="AI319">
            <v>420</v>
          </cell>
          <cell r="AJ319">
            <v>3217.328109201213</v>
          </cell>
          <cell r="AK319">
            <v>1</v>
          </cell>
          <cell r="AL319" t="str">
            <v>0.07648:-2.95510!141.44131</v>
          </cell>
          <cell r="AM319">
            <v>7.6480000000000006E-2</v>
          </cell>
          <cell r="AN319">
            <v>-2.9550999999999998</v>
          </cell>
          <cell r="AO319">
            <v>0.24935275069316687</v>
          </cell>
          <cell r="AP319">
            <v>141.44130999999999</v>
          </cell>
          <cell r="AQ319">
            <v>141.44130661813415</v>
          </cell>
          <cell r="AR319">
            <v>1.7174408191346169</v>
          </cell>
          <cell r="AS319">
            <v>1.6914065081863328E-7</v>
          </cell>
          <cell r="AT319">
            <v>0</v>
          </cell>
          <cell r="AU319" t="str">
            <v/>
          </cell>
          <cell r="AV319">
            <v>0</v>
          </cell>
          <cell r="AW319" t="str">
            <v>Proppant Pack damage=8%</v>
          </cell>
        </row>
        <row r="320">
          <cell r="C320" t="str">
            <v>Vakhskoye!928</v>
          </cell>
          <cell r="D320">
            <v>35</v>
          </cell>
          <cell r="E320">
            <v>928</v>
          </cell>
          <cell r="F320">
            <v>2276.35</v>
          </cell>
          <cell r="G320">
            <v>36616</v>
          </cell>
          <cell r="H320">
            <v>191.146514</v>
          </cell>
          <cell r="I320">
            <v>77</v>
          </cell>
          <cell r="J320">
            <v>29.583360000000003</v>
          </cell>
          <cell r="K320">
            <v>36</v>
          </cell>
          <cell r="L320">
            <v>4</v>
          </cell>
          <cell r="M320">
            <v>96</v>
          </cell>
          <cell r="N320">
            <v>1169</v>
          </cell>
          <cell r="O320">
            <v>112.66149999999999</v>
          </cell>
          <cell r="P320">
            <v>0</v>
          </cell>
          <cell r="R320">
            <v>0.45868629137277084</v>
          </cell>
          <cell r="S320">
            <v>0.45868629137277084</v>
          </cell>
          <cell r="T320">
            <v>68.062252093807047</v>
          </cell>
          <cell r="U320" t="str">
            <v>Old</v>
          </cell>
          <cell r="V320" t="str">
            <v>Frac not completed so NGDU did not track Production</v>
          </cell>
          <cell r="AB320">
            <v>-4.512601984168394</v>
          </cell>
          <cell r="AC320" t="str">
            <v>J-2/1,30</v>
          </cell>
          <cell r="AE320">
            <v>10.5</v>
          </cell>
          <cell r="AF320" t="str">
            <v>16/30</v>
          </cell>
          <cell r="AG320">
            <v>26.3</v>
          </cell>
          <cell r="AH320">
            <v>56.4</v>
          </cell>
          <cell r="AI320">
            <v>420</v>
          </cell>
          <cell r="AJ320">
            <v>849.90749306197961</v>
          </cell>
          <cell r="AK320">
            <v>1</v>
          </cell>
          <cell r="AL320" t="str">
            <v>No post frac PI</v>
          </cell>
          <cell r="AM320" t="str">
            <v/>
          </cell>
          <cell r="AN320" t="str">
            <v/>
          </cell>
          <cell r="AO320" t="str">
            <v/>
          </cell>
          <cell r="AP320" t="str">
            <v/>
          </cell>
          <cell r="AQ320">
            <v>68.062252093807047</v>
          </cell>
          <cell r="AR320" t="str">
            <v/>
          </cell>
          <cell r="AS320" t="str">
            <v/>
          </cell>
          <cell r="AT320" t="str">
            <v/>
          </cell>
          <cell r="AU320" t="str">
            <v/>
          </cell>
          <cell r="AV320" t="str">
            <v/>
          </cell>
          <cell r="AW320" t="str">
            <v>no production data</v>
          </cell>
        </row>
        <row r="321">
          <cell r="C321" t="str">
            <v>Vakhskoye!2060</v>
          </cell>
          <cell r="D321">
            <v>51</v>
          </cell>
          <cell r="E321">
            <v>2060</v>
          </cell>
          <cell r="F321">
            <v>2297.25</v>
          </cell>
          <cell r="G321">
            <v>36619</v>
          </cell>
          <cell r="H321">
            <v>191.146514</v>
          </cell>
          <cell r="I321">
            <v>81</v>
          </cell>
          <cell r="J321">
            <v>46.172639999999994</v>
          </cell>
          <cell r="K321">
            <v>58</v>
          </cell>
          <cell r="L321">
            <v>7</v>
          </cell>
          <cell r="M321">
            <v>93</v>
          </cell>
          <cell r="N321">
            <v>1095</v>
          </cell>
          <cell r="O321">
            <v>121.2025</v>
          </cell>
          <cell r="P321">
            <v>0</v>
          </cell>
          <cell r="R321">
            <v>0.82923465044485445</v>
          </cell>
          <cell r="S321">
            <v>0.82923465044485445</v>
          </cell>
          <cell r="T321">
            <v>123.04614043420284</v>
          </cell>
          <cell r="U321" t="str">
            <v>Old</v>
          </cell>
          <cell r="X321">
            <v>30</v>
          </cell>
          <cell r="Y321">
            <v>2.4723000000000002</v>
          </cell>
          <cell r="Z321">
            <v>-5.5713314353621985</v>
          </cell>
          <cell r="AA321">
            <v>-4.6966799999999997</v>
          </cell>
          <cell r="AB321">
            <v>-4.6446007429433731</v>
          </cell>
          <cell r="AC321" t="str">
            <v>J-1/23,99</v>
          </cell>
          <cell r="AE321">
            <v>28.1</v>
          </cell>
          <cell r="AF321" t="str">
            <v>16/30</v>
          </cell>
          <cell r="AG321">
            <v>14.2</v>
          </cell>
          <cell r="AH321">
            <v>57.6</v>
          </cell>
          <cell r="AI321">
            <v>420</v>
          </cell>
          <cell r="AJ321">
            <v>3921.0010971626862</v>
          </cell>
          <cell r="AK321">
            <v>1</v>
          </cell>
          <cell r="AL321" t="str">
            <v>1:-4.69668!194.66483</v>
          </cell>
          <cell r="AM321">
            <v>1</v>
          </cell>
          <cell r="AN321">
            <v>-4.6966799999999997</v>
          </cell>
          <cell r="AO321">
            <v>4.965641133777198</v>
          </cell>
          <cell r="AP321">
            <v>194.66482999999999</v>
          </cell>
          <cell r="AQ321">
            <v>123.04614043420284</v>
          </cell>
          <cell r="AR321">
            <v>2.9814235400767521</v>
          </cell>
          <cell r="AS321">
            <v>1.3888977289020943E-2</v>
          </cell>
          <cell r="AT321">
            <v>0</v>
          </cell>
          <cell r="AU321" t="str">
            <v/>
          </cell>
          <cell r="AV321">
            <v>0</v>
          </cell>
          <cell r="AW321" t="str">
            <v>DAMMAGED formation S =0.0</v>
          </cell>
        </row>
        <row r="322">
          <cell r="C322" t="str">
            <v>Vakhskoye!1008</v>
          </cell>
          <cell r="D322">
            <v>51</v>
          </cell>
          <cell r="E322">
            <v>1008</v>
          </cell>
          <cell r="F322">
            <v>2233.15</v>
          </cell>
          <cell r="G322">
            <v>36621</v>
          </cell>
          <cell r="H322">
            <v>163.2469748</v>
          </cell>
          <cell r="I322">
            <v>82</v>
          </cell>
          <cell r="J322">
            <v>55.126400000000004</v>
          </cell>
          <cell r="K322">
            <v>70</v>
          </cell>
          <cell r="L322">
            <v>8</v>
          </cell>
          <cell r="M322">
            <v>92</v>
          </cell>
          <cell r="N322">
            <v>759</v>
          </cell>
          <cell r="O322">
            <v>145.67349999999999</v>
          </cell>
          <cell r="P322">
            <v>0</v>
          </cell>
          <cell r="R322">
            <v>3.9832759768147814</v>
          </cell>
          <cell r="S322">
            <v>3.9832759768147814</v>
          </cell>
          <cell r="T322">
            <v>591.05915915163814</v>
          </cell>
          <cell r="U322" t="str">
            <v>Old</v>
          </cell>
          <cell r="X322">
            <v>37.47</v>
          </cell>
          <cell r="Y322">
            <v>7.6722000000000001</v>
          </cell>
          <cell r="Z322">
            <v>-4.7479871092609223</v>
          </cell>
          <cell r="AA322">
            <v>-3.9874499999999999</v>
          </cell>
          <cell r="AB322">
            <v>-3.7643091137128533</v>
          </cell>
          <cell r="AC322" t="str">
            <v>J-1/1,100</v>
          </cell>
          <cell r="AE322">
            <v>20.100000000000001</v>
          </cell>
          <cell r="AF322" t="str">
            <v>16/30</v>
          </cell>
          <cell r="AG322">
            <v>9.6</v>
          </cell>
          <cell r="AH322">
            <v>44.9</v>
          </cell>
          <cell r="AI322">
            <v>420</v>
          </cell>
          <cell r="AJ322">
            <v>5322.06231238501</v>
          </cell>
          <cell r="AK322">
            <v>1</v>
          </cell>
          <cell r="AL322" t="str">
            <v>1:-3.98745!784.31406</v>
          </cell>
          <cell r="AM322">
            <v>1</v>
          </cell>
          <cell r="AN322">
            <v>-3.9874499999999999</v>
          </cell>
          <cell r="AO322">
            <v>1.4508243857577539</v>
          </cell>
          <cell r="AP322">
            <v>784.31406000000004</v>
          </cell>
          <cell r="AQ322">
            <v>591.05915915163814</v>
          </cell>
          <cell r="AR322">
            <v>1.926102898185857</v>
          </cell>
          <cell r="AS322">
            <v>-1.1289444888170834</v>
          </cell>
          <cell r="AT322">
            <v>0</v>
          </cell>
          <cell r="AU322" t="str">
            <v/>
          </cell>
          <cell r="AV322">
            <v>0</v>
          </cell>
          <cell r="AW322" t="str">
            <v>Slight DAMMAGED formation S =-1.1</v>
          </cell>
        </row>
        <row r="323">
          <cell r="C323" t="str">
            <v>Vakhskoye!593</v>
          </cell>
          <cell r="D323">
            <v>46</v>
          </cell>
          <cell r="E323">
            <v>593</v>
          </cell>
          <cell r="F323">
            <v>2272</v>
          </cell>
          <cell r="G323">
            <v>36626</v>
          </cell>
          <cell r="H323">
            <v>184.94661640000001</v>
          </cell>
          <cell r="I323">
            <v>81</v>
          </cell>
          <cell r="J323">
            <v>40.231999999999999</v>
          </cell>
          <cell r="K323">
            <v>50</v>
          </cell>
          <cell r="L323">
            <v>6</v>
          </cell>
          <cell r="M323">
            <v>94</v>
          </cell>
          <cell r="N323">
            <v>1276</v>
          </cell>
          <cell r="O323">
            <v>102.64</v>
          </cell>
          <cell r="P323">
            <v>0</v>
          </cell>
          <cell r="R323">
            <v>0.60748457641614328</v>
          </cell>
          <cell r="S323">
            <v>0.60748457641614328</v>
          </cell>
          <cell r="T323">
            <v>90.1417137612533</v>
          </cell>
          <cell r="U323" t="str">
            <v>Old</v>
          </cell>
          <cell r="X323">
            <v>30.71</v>
          </cell>
          <cell r="Y323">
            <v>4.1828000000000003</v>
          </cell>
          <cell r="Z323">
            <v>-6.4233646248260925</v>
          </cell>
          <cell r="AA323">
            <v>-4.5619500000000004</v>
          </cell>
          <cell r="AB323">
            <v>-4.7373742452386196</v>
          </cell>
          <cell r="AC323" t="str">
            <v>J-1/23,100</v>
          </cell>
          <cell r="AE323">
            <v>32.200000000000003</v>
          </cell>
          <cell r="AF323" t="str">
            <v>16/30</v>
          </cell>
          <cell r="AG323">
            <v>20.6</v>
          </cell>
          <cell r="AH323">
            <v>56.6</v>
          </cell>
          <cell r="AI323">
            <v>420</v>
          </cell>
          <cell r="AJ323">
            <v>3151.9091564033074</v>
          </cell>
          <cell r="AK323">
            <v>1</v>
          </cell>
          <cell r="AL323" t="str">
            <v>1:-4.56195!348.01118</v>
          </cell>
          <cell r="AM323">
            <v>1</v>
          </cell>
          <cell r="AN323">
            <v>-4.5619500000000004</v>
          </cell>
          <cell r="AO323">
            <v>3.2963345691152273</v>
          </cell>
          <cell r="AP323">
            <v>348.01118000000002</v>
          </cell>
          <cell r="AQ323">
            <v>90.1417137612533</v>
          </cell>
          <cell r="AR323">
            <v>6.8854349250366926</v>
          </cell>
          <cell r="AS323">
            <v>10.222827597338974</v>
          </cell>
          <cell r="AT323">
            <v>0</v>
          </cell>
          <cell r="AU323" t="str">
            <v/>
          </cell>
          <cell r="AV323">
            <v>0</v>
          </cell>
          <cell r="AW323" t="str">
            <v>DAMMAGED formation S =10.2</v>
          </cell>
        </row>
        <row r="324">
          <cell r="C324" t="str">
            <v>Vakhskoye!846</v>
          </cell>
          <cell r="D324">
            <v>35</v>
          </cell>
          <cell r="E324">
            <v>846</v>
          </cell>
          <cell r="F324">
            <v>2255</v>
          </cell>
          <cell r="G324">
            <v>36623</v>
          </cell>
          <cell r="H324">
            <v>211.8162384</v>
          </cell>
          <cell r="I324">
            <v>81</v>
          </cell>
          <cell r="J324">
            <v>43.784399999999998</v>
          </cell>
          <cell r="K324">
            <v>55</v>
          </cell>
          <cell r="L324">
            <v>7</v>
          </cell>
          <cell r="M324">
            <v>93</v>
          </cell>
          <cell r="N324">
            <v>646</v>
          </cell>
          <cell r="O324">
            <v>157.81</v>
          </cell>
          <cell r="P324">
            <v>0</v>
          </cell>
          <cell r="R324">
            <v>1.0184008668154159</v>
          </cell>
          <cell r="S324">
            <v>1.0184008668154159</v>
          </cell>
          <cell r="T324">
            <v>151.11560522616742</v>
          </cell>
          <cell r="U324" t="str">
            <v>Old</v>
          </cell>
          <cell r="X324">
            <v>30.97</v>
          </cell>
          <cell r="Y324">
            <v>1.1077999999999999</v>
          </cell>
          <cell r="Z324">
            <v>-2.9553700405362751</v>
          </cell>
          <cell r="AA324">
            <v>-2.9556800000000001</v>
          </cell>
          <cell r="AB324">
            <v>-4.6509164376837102</v>
          </cell>
          <cell r="AC324" t="str">
            <v>J-1/23,100</v>
          </cell>
          <cell r="AE324">
            <v>32.1</v>
          </cell>
          <cell r="AF324" t="str">
            <v>16/30</v>
          </cell>
          <cell r="AG324">
            <v>16.8</v>
          </cell>
          <cell r="AH324">
            <v>62.7</v>
          </cell>
          <cell r="AI324">
            <v>420</v>
          </cell>
          <cell r="AJ324">
            <v>3478.0008321198247</v>
          </cell>
          <cell r="AK324">
            <v>1</v>
          </cell>
          <cell r="AL324" t="str">
            <v>0.03873:-2.95568!151.11561</v>
          </cell>
          <cell r="AM324">
            <v>3.8730000000000001E-2</v>
          </cell>
          <cell r="AN324">
            <v>-2.9556800000000001</v>
          </cell>
          <cell r="AO324">
            <v>0.23884139047685488</v>
          </cell>
          <cell r="AP324">
            <v>151.11561</v>
          </cell>
          <cell r="AQ324">
            <v>151.11560522616742</v>
          </cell>
          <cell r="AR324">
            <v>1.0878657041163404</v>
          </cell>
          <cell r="AS324">
            <v>-2.5938167291141827</v>
          </cell>
          <cell r="AT324">
            <v>0</v>
          </cell>
          <cell r="AU324" t="str">
            <v/>
          </cell>
          <cell r="AV324">
            <v>0</v>
          </cell>
          <cell r="AW324" t="str">
            <v>Proppant Pack damage=4%</v>
          </cell>
        </row>
        <row r="325">
          <cell r="C325" t="str">
            <v>Vakhskoye!2051</v>
          </cell>
          <cell r="D325">
            <v>51</v>
          </cell>
          <cell r="E325">
            <v>2051</v>
          </cell>
          <cell r="F325">
            <v>2306.6</v>
          </cell>
          <cell r="H325">
            <v>212</v>
          </cell>
          <cell r="I325">
            <v>77</v>
          </cell>
          <cell r="J325">
            <v>27.118079999999999</v>
          </cell>
          <cell r="K325">
            <v>33</v>
          </cell>
          <cell r="L325">
            <v>4</v>
          </cell>
          <cell r="M325">
            <v>96</v>
          </cell>
          <cell r="N325">
            <v>840</v>
          </cell>
          <cell r="O325">
            <v>144.994</v>
          </cell>
          <cell r="P325">
            <v>0</v>
          </cell>
          <cell r="R325">
            <v>0.49249320956332271</v>
          </cell>
          <cell r="S325">
            <v>0.49249320956332271</v>
          </cell>
          <cell r="T325">
            <v>73.07869804320228</v>
          </cell>
          <cell r="U325" t="str">
            <v>Old</v>
          </cell>
          <cell r="V325" t="str">
            <v>Casing Collapse on W/O no Production</v>
          </cell>
          <cell r="AA325" t="str">
            <v/>
          </cell>
          <cell r="AB325">
            <v>-4.7219195318650087</v>
          </cell>
          <cell r="AC325" t="str">
            <v>J-2/2,99</v>
          </cell>
          <cell r="AE325">
            <v>34.088999999999999</v>
          </cell>
          <cell r="AF325" t="str">
            <v>16/30</v>
          </cell>
          <cell r="AG325">
            <v>22.2</v>
          </cell>
          <cell r="AH325">
            <v>51.9</v>
          </cell>
          <cell r="AI325">
            <v>420</v>
          </cell>
          <cell r="AJ325">
            <v>3376.7227267478588</v>
          </cell>
          <cell r="AK325">
            <v>1</v>
          </cell>
          <cell r="AL325" t="str">
            <v>No post frac PI</v>
          </cell>
          <cell r="AM325" t="str">
            <v/>
          </cell>
          <cell r="AN325" t="str">
            <v/>
          </cell>
          <cell r="AO325" t="str">
            <v/>
          </cell>
          <cell r="AP325" t="str">
            <v/>
          </cell>
          <cell r="AQ325">
            <v>73.07869804320228</v>
          </cell>
          <cell r="AR325" t="str">
            <v/>
          </cell>
          <cell r="AS325" t="str">
            <v/>
          </cell>
          <cell r="AT325" t="str">
            <v/>
          </cell>
          <cell r="AU325" t="str">
            <v/>
          </cell>
          <cell r="AV325" t="str">
            <v/>
          </cell>
          <cell r="AW325" t="str">
            <v>no production data</v>
          </cell>
        </row>
        <row r="326">
          <cell r="C326" t="str">
            <v>Vakhskoye!814</v>
          </cell>
          <cell r="D326">
            <v>34</v>
          </cell>
          <cell r="E326">
            <v>814</v>
          </cell>
          <cell r="F326">
            <v>2216.6</v>
          </cell>
          <cell r="G326">
            <v>36628</v>
          </cell>
          <cell r="H326">
            <v>189</v>
          </cell>
          <cell r="I326">
            <v>81</v>
          </cell>
          <cell r="J326">
            <v>48.483840000000001</v>
          </cell>
          <cell r="K326">
            <v>59</v>
          </cell>
          <cell r="L326">
            <v>4</v>
          </cell>
          <cell r="M326">
            <v>96</v>
          </cell>
          <cell r="N326">
            <v>1401</v>
          </cell>
          <cell r="O326">
            <v>86.403999999999982</v>
          </cell>
          <cell r="P326">
            <v>0</v>
          </cell>
          <cell r="R326">
            <v>0.57507115287145683</v>
          </cell>
          <cell r="S326">
            <v>0.57507115287145683</v>
          </cell>
          <cell r="T326">
            <v>85.332041778427708</v>
          </cell>
          <cell r="U326" t="str">
            <v>Old</v>
          </cell>
          <cell r="X326">
            <v>30</v>
          </cell>
          <cell r="Y326">
            <v>0.87890000000000001</v>
          </cell>
          <cell r="Z326">
            <v>-4.1425969986953222</v>
          </cell>
          <cell r="AA326">
            <v>-3.9647999999999999</v>
          </cell>
          <cell r="AB326">
            <v>-4.7084445140110294</v>
          </cell>
          <cell r="AC326" t="str">
            <v>J-1/23,100</v>
          </cell>
          <cell r="AE326">
            <v>33.764000000000003</v>
          </cell>
          <cell r="AF326" t="str">
            <v>16/30</v>
          </cell>
          <cell r="AG326">
            <v>17</v>
          </cell>
          <cell r="AH326">
            <v>52.6</v>
          </cell>
          <cell r="AI326">
            <v>420</v>
          </cell>
          <cell r="AJ326">
            <v>4309.4386043390741</v>
          </cell>
          <cell r="AK326">
            <v>1</v>
          </cell>
          <cell r="AL326" t="str">
            <v>0.06531:-3.96480!85.33204</v>
          </cell>
          <cell r="AM326">
            <v>6.5310000000000007E-2</v>
          </cell>
          <cell r="AN326">
            <v>-3.9647999999999999</v>
          </cell>
          <cell r="AO326">
            <v>1.0659858270432883</v>
          </cell>
          <cell r="AP326">
            <v>85.332040000000006</v>
          </cell>
          <cell r="AQ326">
            <v>85.332041778427708</v>
          </cell>
          <cell r="AR326">
            <v>1.4409374892066265</v>
          </cell>
          <cell r="AS326" t="str">
            <v/>
          </cell>
          <cell r="AT326">
            <v>0</v>
          </cell>
          <cell r="AU326" t="str">
            <v/>
          </cell>
          <cell r="AV326">
            <v>0</v>
          </cell>
          <cell r="AW326" t="str">
            <v>Proppant Pack damage=7%</v>
          </cell>
        </row>
        <row r="327">
          <cell r="C327" t="str">
            <v>Vakhskoye!2533</v>
          </cell>
          <cell r="D327">
            <v>64</v>
          </cell>
          <cell r="E327">
            <v>2533</v>
          </cell>
          <cell r="F327">
            <v>2328</v>
          </cell>
          <cell r="G327">
            <v>36632</v>
          </cell>
          <cell r="H327">
            <v>200</v>
          </cell>
          <cell r="I327">
            <v>77</v>
          </cell>
          <cell r="J327">
            <v>11.555999999999999</v>
          </cell>
          <cell r="K327">
            <v>15</v>
          </cell>
          <cell r="L327">
            <v>10</v>
          </cell>
          <cell r="M327">
            <v>90</v>
          </cell>
          <cell r="N327">
            <v>1146</v>
          </cell>
          <cell r="O327">
            <v>119.38</v>
          </cell>
          <cell r="P327">
            <v>0</v>
          </cell>
          <cell r="R327">
            <v>0.18605805011163482</v>
          </cell>
          <cell r="S327">
            <v>0.18605805011163482</v>
          </cell>
          <cell r="T327">
            <v>27.608258953805795</v>
          </cell>
          <cell r="U327" t="str">
            <v>Old</v>
          </cell>
          <cell r="X327">
            <v>30.75</v>
          </cell>
          <cell r="Y327">
            <v>0.51970000000000005</v>
          </cell>
          <cell r="Z327">
            <v>-5.470076994345594</v>
          </cell>
          <cell r="AA327">
            <v>-4.9894400000000001</v>
          </cell>
          <cell r="AB327">
            <v>-4.9500158247916479</v>
          </cell>
          <cell r="AC327" t="str">
            <v>J-2/2,99</v>
          </cell>
          <cell r="AE327">
            <v>29.541</v>
          </cell>
          <cell r="AF327" t="str">
            <v>16/30</v>
          </cell>
          <cell r="AG327">
            <v>11</v>
          </cell>
          <cell r="AH327">
            <v>62.6</v>
          </cell>
          <cell r="AI327">
            <v>420</v>
          </cell>
          <cell r="AJ327">
            <v>4896.2055967369197</v>
          </cell>
          <cell r="AK327">
            <v>1</v>
          </cell>
          <cell r="AL327" t="str">
            <v>0.95313:-4.98944!27.60826</v>
          </cell>
          <cell r="AM327">
            <v>0.95313000000000003</v>
          </cell>
          <cell r="AN327">
            <v>-4.9894400000000001</v>
          </cell>
          <cell r="AO327">
            <v>29.702369809478661</v>
          </cell>
          <cell r="AP327">
            <v>27.608260000000001</v>
          </cell>
          <cell r="AQ327">
            <v>27.608258953805795</v>
          </cell>
          <cell r="AR327">
            <v>2.1491970745918767</v>
          </cell>
          <cell r="AS327">
            <v>-2.5938167008723934</v>
          </cell>
          <cell r="AT327">
            <v>0</v>
          </cell>
          <cell r="AU327" t="str">
            <v/>
          </cell>
          <cell r="AV327">
            <v>0</v>
          </cell>
          <cell r="AW327" t="str">
            <v>Proppant Pack damage=95%</v>
          </cell>
        </row>
        <row r="328">
          <cell r="C328" t="str">
            <v>Vakhskoye!945</v>
          </cell>
          <cell r="D328">
            <v>67</v>
          </cell>
          <cell r="E328">
            <v>945</v>
          </cell>
          <cell r="F328">
            <v>2250</v>
          </cell>
          <cell r="G328">
            <v>36641</v>
          </cell>
          <cell r="H328">
            <v>196</v>
          </cell>
          <cell r="I328">
            <v>81</v>
          </cell>
          <cell r="J328">
            <v>37.800960000000003</v>
          </cell>
          <cell r="K328">
            <v>48</v>
          </cell>
          <cell r="L328">
            <v>8</v>
          </cell>
          <cell r="M328">
            <v>92</v>
          </cell>
          <cell r="N328">
            <v>1540</v>
          </cell>
          <cell r="O328">
            <v>76.900000000000006</v>
          </cell>
          <cell r="P328">
            <v>0</v>
          </cell>
          <cell r="R328">
            <v>0.40333502926461212</v>
          </cell>
          <cell r="S328">
            <v>0.40333502926461212</v>
          </cell>
          <cell r="T328">
            <v>59.848944597651247</v>
          </cell>
          <cell r="U328" t="str">
            <v>Old</v>
          </cell>
          <cell r="X328">
            <v>31.5</v>
          </cell>
          <cell r="Y328">
            <v>0.58819999999999995</v>
          </cell>
          <cell r="Z328">
            <v>-4.0019049850515334</v>
          </cell>
          <cell r="AA328">
            <v>-3.6993299999999998</v>
          </cell>
          <cell r="AB328">
            <v>-4.5194726212677656</v>
          </cell>
          <cell r="AC328" t="str">
            <v>J-1/23,99</v>
          </cell>
          <cell r="AE328">
            <v>30.411999999999999</v>
          </cell>
          <cell r="AF328" t="str">
            <v>16/30</v>
          </cell>
          <cell r="AG328">
            <v>16.100000000000001</v>
          </cell>
          <cell r="AH328">
            <v>39.700000000000003</v>
          </cell>
          <cell r="AI328">
            <v>420</v>
          </cell>
          <cell r="AJ328">
            <v>5430.3781194497469</v>
          </cell>
          <cell r="AK328">
            <v>1</v>
          </cell>
          <cell r="AL328" t="str">
            <v>0.02951:-3.69933!59.84894</v>
          </cell>
          <cell r="AM328">
            <v>2.9510000000000002E-2</v>
          </cell>
          <cell r="AN328">
            <v>-3.6993299999999998</v>
          </cell>
          <cell r="AO328">
            <v>1.0858708796879892</v>
          </cell>
          <cell r="AP328">
            <v>59.848939999999999</v>
          </cell>
          <cell r="AQ328">
            <v>59.848944597651247</v>
          </cell>
          <cell r="AR328">
            <v>1.3275870105206815</v>
          </cell>
          <cell r="AS328" t="str">
            <v/>
          </cell>
          <cell r="AT328">
            <v>0</v>
          </cell>
          <cell r="AU328" t="str">
            <v/>
          </cell>
          <cell r="AV328">
            <v>0</v>
          </cell>
          <cell r="AW328" t="str">
            <v>Proppant Pack damage=3%</v>
          </cell>
        </row>
        <row r="329">
          <cell r="C329" t="str">
            <v>Vakhskoye!804</v>
          </cell>
          <cell r="D329">
            <v>34</v>
          </cell>
          <cell r="E329">
            <v>804</v>
          </cell>
          <cell r="F329">
            <v>2228.9499999999998</v>
          </cell>
          <cell r="G329">
            <v>36648</v>
          </cell>
          <cell r="H329">
            <v>205</v>
          </cell>
          <cell r="I329">
            <v>81</v>
          </cell>
          <cell r="J329">
            <v>37.800960000000003</v>
          </cell>
          <cell r="K329">
            <v>48</v>
          </cell>
          <cell r="L329">
            <v>8</v>
          </cell>
          <cell r="M329">
            <v>92</v>
          </cell>
          <cell r="N329">
            <v>1204</v>
          </cell>
          <cell r="O329">
            <v>105.24549999999998</v>
          </cell>
          <cell r="P329">
            <v>0</v>
          </cell>
          <cell r="R329">
            <v>0.48118130009172511</v>
          </cell>
          <cell r="S329">
            <v>0.48118130009172511</v>
          </cell>
          <cell r="T329">
            <v>71.400178216908841</v>
          </cell>
          <cell r="U329" t="str">
            <v>Old</v>
          </cell>
          <cell r="X329">
            <v>28.41</v>
          </cell>
          <cell r="Y329">
            <v>1.2856000000000001</v>
          </cell>
          <cell r="Z329">
            <v>-5.3971616903875681</v>
          </cell>
          <cell r="AA329">
            <v>-4.5182000000000002</v>
          </cell>
          <cell r="AB329">
            <v>-4.4974668286221746</v>
          </cell>
          <cell r="AC329" t="str">
            <v>J-1/23,94</v>
          </cell>
          <cell r="AE329">
            <v>27.84</v>
          </cell>
          <cell r="AF329" t="str">
            <v>16/30</v>
          </cell>
          <cell r="AG329">
            <v>14.6</v>
          </cell>
          <cell r="AH329">
            <v>39.700000000000003</v>
          </cell>
          <cell r="AI329">
            <v>420</v>
          </cell>
          <cell r="AJ329">
            <v>5481.8524280525608</v>
          </cell>
          <cell r="AK329">
            <v>1</v>
          </cell>
          <cell r="AL329" t="str">
            <v>1:-4.51820!108.25787</v>
          </cell>
          <cell r="AM329">
            <v>1</v>
          </cell>
          <cell r="AN329">
            <v>-4.5182000000000002</v>
          </cell>
          <cell r="AO329">
            <v>18.62216674909639</v>
          </cell>
          <cell r="AP329">
            <v>108.25787</v>
          </cell>
          <cell r="AQ329">
            <v>71.400178216908841</v>
          </cell>
          <cell r="AR329">
            <v>2.6578209753235691</v>
          </cell>
          <cell r="AS329">
            <v>-0.28106487350536913</v>
          </cell>
          <cell r="AT329">
            <v>0</v>
          </cell>
          <cell r="AU329" t="str">
            <v/>
          </cell>
          <cell r="AV329">
            <v>0</v>
          </cell>
          <cell r="AW329" t="str">
            <v>DAMMAGED formation S =-0.3</v>
          </cell>
        </row>
        <row r="330">
          <cell r="C330" t="str">
            <v>Vakhskoye!909</v>
          </cell>
          <cell r="D330">
            <v>64</v>
          </cell>
          <cell r="E330">
            <v>909</v>
          </cell>
          <cell r="F330">
            <v>2298.3000000000002</v>
          </cell>
          <cell r="G330">
            <v>36646</v>
          </cell>
          <cell r="H330">
            <v>209</v>
          </cell>
          <cell r="I330">
            <v>81</v>
          </cell>
          <cell r="J330">
            <v>15.750400000000001</v>
          </cell>
          <cell r="K330">
            <v>20</v>
          </cell>
          <cell r="L330">
            <v>8</v>
          </cell>
          <cell r="M330">
            <v>92</v>
          </cell>
          <cell r="N330">
            <v>525</v>
          </cell>
          <cell r="O330">
            <v>172.59700000000001</v>
          </cell>
          <cell r="P330">
            <v>0</v>
          </cell>
          <cell r="R330">
            <v>0.54940526879652785</v>
          </cell>
          <cell r="S330">
            <v>0.54940526879652785</v>
          </cell>
          <cell r="T330">
            <v>81.523604715941872</v>
          </cell>
          <cell r="U330" t="str">
            <v>Old</v>
          </cell>
          <cell r="X330">
            <v>36.4</v>
          </cell>
          <cell r="Y330">
            <v>0.92059999999999997</v>
          </cell>
          <cell r="Z330">
            <v>-4.4002881409382448</v>
          </cell>
          <cell r="AA330">
            <v>-4.4001000000000001</v>
          </cell>
          <cell r="AB330">
            <v>-4.423622023854886</v>
          </cell>
          <cell r="AC330" t="str">
            <v>J-1/23,98</v>
          </cell>
          <cell r="AE330">
            <v>23.341000000000001</v>
          </cell>
          <cell r="AF330" t="str">
            <v>16/30</v>
          </cell>
          <cell r="AG330">
            <v>13.6</v>
          </cell>
          <cell r="AH330">
            <v>37.6</v>
          </cell>
          <cell r="AI330">
            <v>420</v>
          </cell>
          <cell r="AJ330">
            <v>5209.4776248843673</v>
          </cell>
          <cell r="AK330">
            <v>1</v>
          </cell>
          <cell r="AL330" t="str">
            <v>0.41992:-4.40010!81.52360</v>
          </cell>
          <cell r="AM330">
            <v>0.41992000000000002</v>
          </cell>
          <cell r="AN330">
            <v>-4.4001000000000001</v>
          </cell>
          <cell r="AO330">
            <v>9.7057354784784788</v>
          </cell>
          <cell r="AP330">
            <v>81.523600000000002</v>
          </cell>
          <cell r="AQ330">
            <v>81.523604715941872</v>
          </cell>
          <cell r="AR330">
            <v>1.6755121913528306</v>
          </cell>
          <cell r="AS330" t="str">
            <v/>
          </cell>
          <cell r="AT330">
            <v>0</v>
          </cell>
          <cell r="AU330" t="str">
            <v/>
          </cell>
          <cell r="AV330">
            <v>0</v>
          </cell>
          <cell r="AW330" t="str">
            <v>Proppant Pack damage=42%</v>
          </cell>
        </row>
        <row r="331">
          <cell r="C331" t="str">
            <v>Vakhskoye!1420</v>
          </cell>
          <cell r="D331">
            <v>33</v>
          </cell>
          <cell r="E331">
            <v>1420</v>
          </cell>
          <cell r="F331">
            <v>2221.6999999999998</v>
          </cell>
          <cell r="G331">
            <v>36647</v>
          </cell>
          <cell r="H331">
            <v>205</v>
          </cell>
          <cell r="I331">
            <v>82</v>
          </cell>
          <cell r="J331">
            <v>16.53792</v>
          </cell>
          <cell r="K331">
            <v>21</v>
          </cell>
          <cell r="L331">
            <v>8</v>
          </cell>
          <cell r="M331">
            <v>92</v>
          </cell>
          <cell r="N331">
            <v>1066</v>
          </cell>
          <cell r="O331">
            <v>117.01299999999998</v>
          </cell>
          <cell r="P331">
            <v>0</v>
          </cell>
          <cell r="R331">
            <v>0.23867162194415079</v>
          </cell>
          <cell r="S331">
            <v>0.23867162194415079</v>
          </cell>
          <cell r="T331">
            <v>35.415333760648188</v>
          </cell>
          <cell r="U331" t="str">
            <v>Old</v>
          </cell>
          <cell r="X331">
            <v>31.97</v>
          </cell>
          <cell r="Y331">
            <v>0.8417</v>
          </cell>
          <cell r="Z331">
            <v>-5.8036366541078941</v>
          </cell>
          <cell r="AA331">
            <v>-4.8254700000000001</v>
          </cell>
          <cell r="AB331">
            <v>-4.8151578839543685</v>
          </cell>
          <cell r="AC331" t="str">
            <v>J-1/1,101</v>
          </cell>
          <cell r="AE331">
            <v>20.885999999999999</v>
          </cell>
          <cell r="AF331" t="str">
            <v>16/30</v>
          </cell>
          <cell r="AG331">
            <v>9</v>
          </cell>
          <cell r="AH331">
            <v>56.8</v>
          </cell>
          <cell r="AI331">
            <v>420</v>
          </cell>
          <cell r="AJ331">
            <v>4663.0052051439061</v>
          </cell>
          <cell r="AK331">
            <v>1</v>
          </cell>
          <cell r="AL331" t="str">
            <v>1:-4.82547!62.68367</v>
          </cell>
          <cell r="AM331">
            <v>1</v>
          </cell>
          <cell r="AN331">
            <v>-4.8254700000000001</v>
          </cell>
          <cell r="AO331">
            <v>11.78706445492956</v>
          </cell>
          <cell r="AP331">
            <v>62.683669999999999</v>
          </cell>
          <cell r="AQ331">
            <v>35.415333760648188</v>
          </cell>
          <cell r="AR331">
            <v>3.5265961574524716</v>
          </cell>
          <cell r="AS331">
            <v>0.85577350876931479</v>
          </cell>
          <cell r="AT331">
            <v>0</v>
          </cell>
          <cell r="AU331" t="str">
            <v/>
          </cell>
          <cell r="AV331">
            <v>0</v>
          </cell>
          <cell r="AW331" t="str">
            <v>DAMMAGED formation S =0.9</v>
          </cell>
        </row>
        <row r="332">
          <cell r="C332" t="str">
            <v>Vakhskoye!2095</v>
          </cell>
          <cell r="D332">
            <v>51</v>
          </cell>
          <cell r="E332">
            <v>2095</v>
          </cell>
          <cell r="F332">
            <v>2291.4499999999998</v>
          </cell>
          <cell r="G332">
            <v>36653</v>
          </cell>
          <cell r="H332">
            <v>190</v>
          </cell>
          <cell r="I332">
            <v>77</v>
          </cell>
          <cell r="J332">
            <v>39.846800000000002</v>
          </cell>
          <cell r="K332">
            <v>49</v>
          </cell>
          <cell r="L332">
            <v>5</v>
          </cell>
          <cell r="M332">
            <v>95</v>
          </cell>
          <cell r="N332">
            <v>1102</v>
          </cell>
          <cell r="O332">
            <v>120.05049999999999</v>
          </cell>
          <cell r="P332">
            <v>0</v>
          </cell>
          <cell r="R332">
            <v>0.70050536458445012</v>
          </cell>
          <cell r="S332">
            <v>0.70050536458445012</v>
          </cell>
          <cell r="T332">
            <v>103.94462100604514</v>
          </cell>
          <cell r="U332" t="str">
            <v>Old</v>
          </cell>
          <cell r="X332">
            <v>31.37</v>
          </cell>
          <cell r="Y332">
            <v>2.1202999999999999</v>
          </cell>
          <cell r="Z332">
            <v>-5.593866532818291</v>
          </cell>
          <cell r="AA332">
            <v>-4.6453899999999999</v>
          </cell>
          <cell r="AB332">
            <v>-4.6075994652642045</v>
          </cell>
          <cell r="AC332" t="str">
            <v>J-2/2,98</v>
          </cell>
          <cell r="AE332">
            <v>39.485999999999997</v>
          </cell>
          <cell r="AF332" t="str">
            <v>20/40</v>
          </cell>
          <cell r="AG332">
            <v>22</v>
          </cell>
          <cell r="AH332">
            <v>53.4</v>
          </cell>
          <cell r="AI332">
            <v>250</v>
          </cell>
          <cell r="AJ332">
            <v>2283.3442510103478</v>
          </cell>
          <cell r="AK332">
            <v>1</v>
          </cell>
          <cell r="AL332" t="str">
            <v>1:-4.64539!170.55052</v>
          </cell>
          <cell r="AM332">
            <v>1</v>
          </cell>
          <cell r="AN332">
            <v>-4.6453899999999999</v>
          </cell>
          <cell r="AO332">
            <v>5.515688981843935</v>
          </cell>
          <cell r="AP332">
            <v>170.55052000000001</v>
          </cell>
          <cell r="AQ332">
            <v>103.94462100604514</v>
          </cell>
          <cell r="AR332">
            <v>3.0268106092019482</v>
          </cell>
          <cell r="AS332">
            <v>0.27703576890561443</v>
          </cell>
          <cell r="AT332">
            <v>0</v>
          </cell>
          <cell r="AU332" t="str">
            <v/>
          </cell>
          <cell r="AV332">
            <v>0</v>
          </cell>
          <cell r="AW332" t="str">
            <v>DAMMAGED formation S =0.3</v>
          </cell>
        </row>
        <row r="333">
          <cell r="C333" t="str">
            <v>Vakhskoye!1101</v>
          </cell>
          <cell r="D333">
            <v>71</v>
          </cell>
          <cell r="E333">
            <v>1101</v>
          </cell>
          <cell r="F333">
            <v>2219.1999999999998</v>
          </cell>
          <cell r="G333">
            <v>36661</v>
          </cell>
          <cell r="H333">
            <v>201</v>
          </cell>
          <cell r="I333">
            <v>82</v>
          </cell>
          <cell r="J333">
            <v>43.099600000000002</v>
          </cell>
          <cell r="K333">
            <v>53</v>
          </cell>
          <cell r="L333">
            <v>5</v>
          </cell>
          <cell r="M333">
            <v>95</v>
          </cell>
          <cell r="N333">
            <v>1310</v>
          </cell>
          <cell r="O333">
            <v>94.827999999999975</v>
          </cell>
          <cell r="P333">
            <v>0</v>
          </cell>
          <cell r="R333">
            <v>0.49918999359529809</v>
          </cell>
          <cell r="S333">
            <v>0.49918999359529809</v>
          </cell>
          <cell r="T333">
            <v>74.072401608307672</v>
          </cell>
          <cell r="U333" t="str">
            <v>Old</v>
          </cell>
          <cell r="X333">
            <v>34.43</v>
          </cell>
          <cell r="Y333">
            <v>1.7566999999999999</v>
          </cell>
          <cell r="Z333">
            <v>-5.8009284860618529</v>
          </cell>
          <cell r="AA333">
            <v>-4.4944300000000004</v>
          </cell>
          <cell r="AB333">
            <v>-4.5040168964742371</v>
          </cell>
          <cell r="AC333" t="str">
            <v>J-1/1,101</v>
          </cell>
          <cell r="AE333">
            <v>26.5</v>
          </cell>
          <cell r="AF333" t="str">
            <v>20/40</v>
          </cell>
          <cell r="AG333">
            <v>10.8</v>
          </cell>
          <cell r="AH333">
            <v>45</v>
          </cell>
          <cell r="AI333">
            <v>250</v>
          </cell>
          <cell r="AJ333">
            <v>3704.2628377169435</v>
          </cell>
          <cell r="AK333">
            <v>1</v>
          </cell>
          <cell r="AL333" t="str">
            <v>1:-4.49443!150.08679</v>
          </cell>
          <cell r="AM333">
            <v>1</v>
          </cell>
          <cell r="AN333">
            <v>-4.4944300000000004</v>
          </cell>
          <cell r="AO333">
            <v>5.9233932650039787</v>
          </cell>
          <cell r="AP333">
            <v>150.08679000000001</v>
          </cell>
          <cell r="AQ333">
            <v>74.072401608307672</v>
          </cell>
          <cell r="AR333">
            <v>3.5190967424015249</v>
          </cell>
          <cell r="AS333">
            <v>2.0038722895948995</v>
          </cell>
          <cell r="AT333">
            <v>0</v>
          </cell>
          <cell r="AU333" t="str">
            <v/>
          </cell>
          <cell r="AV333">
            <v>0</v>
          </cell>
          <cell r="AW333" t="str">
            <v>DAMMAGED formation S =2.0</v>
          </cell>
        </row>
        <row r="334">
          <cell r="C334" t="str">
            <v>Vakhskoye!848</v>
          </cell>
          <cell r="D334">
            <v>31</v>
          </cell>
          <cell r="E334">
            <v>848</v>
          </cell>
          <cell r="F334">
            <v>2253.9499999999998</v>
          </cell>
          <cell r="G334">
            <v>36668</v>
          </cell>
          <cell r="H334">
            <v>178</v>
          </cell>
          <cell r="I334">
            <v>81</v>
          </cell>
          <cell r="J334">
            <v>40.231999999999999</v>
          </cell>
          <cell r="K334">
            <v>50</v>
          </cell>
          <cell r="L334">
            <v>6</v>
          </cell>
          <cell r="M334">
            <v>94</v>
          </cell>
          <cell r="N334">
            <v>1284</v>
          </cell>
          <cell r="O334">
            <v>100.29549999999998</v>
          </cell>
          <cell r="P334">
            <v>0</v>
          </cell>
          <cell r="R334">
            <v>0.64346337728188185</v>
          </cell>
          <cell r="S334">
            <v>0.64346337728188185</v>
          </cell>
          <cell r="T334">
            <v>95.480434932160634</v>
          </cell>
          <cell r="U334" t="str">
            <v>Old</v>
          </cell>
          <cell r="X334">
            <v>21</v>
          </cell>
          <cell r="Y334">
            <v>1.8923000000000001</v>
          </cell>
          <cell r="Z334">
            <v>-5.550575433487178</v>
          </cell>
          <cell r="AA334">
            <v>-4.5142600000000002</v>
          </cell>
          <cell r="AB334">
            <v>-4.4800316215295943</v>
          </cell>
          <cell r="AC334" t="str">
            <v>J-1/2,100</v>
          </cell>
          <cell r="AE334">
            <v>29.652999999999999</v>
          </cell>
          <cell r="AF334" t="str">
            <v>20/40</v>
          </cell>
          <cell r="AG334">
            <v>17.100000000000001</v>
          </cell>
          <cell r="AH334">
            <v>45.5</v>
          </cell>
          <cell r="AI334">
            <v>250</v>
          </cell>
          <cell r="AJ334">
            <v>2589.1268025135296</v>
          </cell>
          <cell r="AK334">
            <v>1</v>
          </cell>
          <cell r="AL334" t="str">
            <v>1:-4.51426!156.83644</v>
          </cell>
          <cell r="AM334">
            <v>1</v>
          </cell>
          <cell r="AN334">
            <v>-4.5142600000000002</v>
          </cell>
          <cell r="AO334">
            <v>6.2042752733926561</v>
          </cell>
          <cell r="AP334">
            <v>156.83644000000001</v>
          </cell>
          <cell r="AQ334">
            <v>95.480434932160634</v>
          </cell>
          <cell r="AR334">
            <v>2.8749424285486094</v>
          </cell>
          <cell r="AS334">
            <v>0.28519139975965224</v>
          </cell>
          <cell r="AT334">
            <v>0</v>
          </cell>
          <cell r="AU334" t="str">
            <v/>
          </cell>
          <cell r="AV334">
            <v>0</v>
          </cell>
          <cell r="AW334" t="str">
            <v>DAMMAGED formation S =0.3</v>
          </cell>
        </row>
        <row r="335">
          <cell r="C335" t="str">
            <v>Vakhskoye!1216</v>
          </cell>
          <cell r="D335">
            <v>53</v>
          </cell>
          <cell r="E335">
            <v>1216</v>
          </cell>
          <cell r="F335">
            <v>2261.1999999999998</v>
          </cell>
          <cell r="G335">
            <v>36693</v>
          </cell>
          <cell r="H335">
            <v>155</v>
          </cell>
          <cell r="I335">
            <v>81</v>
          </cell>
          <cell r="J335">
            <v>15.579199999999998</v>
          </cell>
          <cell r="K335">
            <v>20</v>
          </cell>
          <cell r="L335">
            <v>9</v>
          </cell>
          <cell r="M335">
            <v>91</v>
          </cell>
          <cell r="N335">
            <v>781</v>
          </cell>
          <cell r="O335">
            <v>146.21799999999999</v>
          </cell>
          <cell r="P335">
            <v>0</v>
          </cell>
          <cell r="R335">
            <v>2.2773855613755383</v>
          </cell>
          <cell r="S335">
            <v>2.2773855613755383</v>
          </cell>
          <cell r="T335">
            <v>337.93028723234204</v>
          </cell>
          <cell r="U335" t="str">
            <v>Old</v>
          </cell>
          <cell r="X335">
            <v>41.77</v>
          </cell>
          <cell r="Y335">
            <v>4.4337999999999997</v>
          </cell>
          <cell r="Z335">
            <v>-4.772812496587294</v>
          </cell>
          <cell r="AA335">
            <v>-4.6147</v>
          </cell>
          <cell r="AB335">
            <v>-4.4019387812349011</v>
          </cell>
          <cell r="AC335" t="str">
            <v>J-1/23,102</v>
          </cell>
          <cell r="AE335">
            <v>39.414999999999999</v>
          </cell>
          <cell r="AF335" t="str">
            <v>16/30</v>
          </cell>
          <cell r="AG335">
            <v>12</v>
          </cell>
          <cell r="AH335">
            <v>56.6</v>
          </cell>
          <cell r="AI335">
            <v>420</v>
          </cell>
          <cell r="AJ335">
            <v>6623.1611998770923</v>
          </cell>
          <cell r="AK335">
            <v>1</v>
          </cell>
          <cell r="AL335" t="str">
            <v>1:-4.61470!361.14869</v>
          </cell>
          <cell r="AM335">
            <v>1</v>
          </cell>
          <cell r="AN335">
            <v>-4.6147</v>
          </cell>
          <cell r="AO335">
            <v>3.8881597160432939</v>
          </cell>
          <cell r="AP335">
            <v>361.14868999999999</v>
          </cell>
          <cell r="AQ335">
            <v>337.93028723234204</v>
          </cell>
          <cell r="AR335">
            <v>1.9468814985018676</v>
          </cell>
          <cell r="AS335">
            <v>-2.2859907639058026</v>
          </cell>
          <cell r="AT335">
            <v>0</v>
          </cell>
          <cell r="AU335" t="str">
            <v/>
          </cell>
          <cell r="AV335">
            <v>0</v>
          </cell>
          <cell r="AW335" t="str">
            <v>Slight DAMMAGED formation S =-2.3</v>
          </cell>
        </row>
        <row r="336">
          <cell r="C336" t="str">
            <v>Vakhskoye!1210</v>
          </cell>
          <cell r="D336">
            <v>53</v>
          </cell>
          <cell r="E336">
            <v>1210</v>
          </cell>
          <cell r="F336">
            <v>2274</v>
          </cell>
          <cell r="G336">
            <v>36710</v>
          </cell>
          <cell r="H336">
            <v>165</v>
          </cell>
          <cell r="I336">
            <v>81</v>
          </cell>
          <cell r="J336">
            <v>36.208800000000004</v>
          </cell>
          <cell r="K336">
            <v>47</v>
          </cell>
          <cell r="L336">
            <v>10</v>
          </cell>
          <cell r="M336">
            <v>90</v>
          </cell>
          <cell r="N336">
            <v>1031</v>
          </cell>
          <cell r="O336">
            <v>124.87</v>
          </cell>
          <cell r="P336">
            <v>0</v>
          </cell>
          <cell r="R336">
            <v>1.1711936207326188</v>
          </cell>
          <cell r="S336">
            <v>1.1711936207326188</v>
          </cell>
          <cell r="T336">
            <v>173.78778691290586</v>
          </cell>
          <cell r="U336" t="str">
            <v>Old</v>
          </cell>
          <cell r="X336">
            <v>45.67</v>
          </cell>
          <cell r="Y336">
            <v>1.3091999999999999</v>
          </cell>
          <cell r="Z336">
            <v>-3.0660901687900299</v>
          </cell>
          <cell r="AA336">
            <v>-3.0657100000000002</v>
          </cell>
          <cell r="AB336">
            <v>-4.5313044804338123</v>
          </cell>
          <cell r="AC336" t="str">
            <v>J-1/23,102</v>
          </cell>
          <cell r="AE336">
            <v>40.414000000000001</v>
          </cell>
          <cell r="AF336" t="str">
            <v>16/30</v>
          </cell>
          <cell r="AG336">
            <v>18.399999999999999</v>
          </cell>
          <cell r="AH336">
            <v>45.9</v>
          </cell>
          <cell r="AI336">
            <v>420</v>
          </cell>
          <cell r="AJ336">
            <v>5461.3850896376198</v>
          </cell>
          <cell r="AK336">
            <v>1</v>
          </cell>
          <cell r="AL336" t="str">
            <v>0.03055:-3.06571!173.78779</v>
          </cell>
          <cell r="AM336">
            <v>3.0550000000000001E-2</v>
          </cell>
          <cell r="AN336">
            <v>-3.0657100000000002</v>
          </cell>
          <cell r="AO336">
            <v>0.3848574446009479</v>
          </cell>
          <cell r="AP336">
            <v>173.78779</v>
          </cell>
          <cell r="AQ336">
            <v>173.78778691290586</v>
          </cell>
          <cell r="AR336">
            <v>1.1177279369979474</v>
          </cell>
          <cell r="AS336">
            <v>-2.5938167910623759</v>
          </cell>
          <cell r="AT336">
            <v>0</v>
          </cell>
          <cell r="AU336" t="str">
            <v/>
          </cell>
          <cell r="AV336">
            <v>0</v>
          </cell>
          <cell r="AW336" t="str">
            <v>Proppant Pack damage=3%</v>
          </cell>
        </row>
        <row r="337">
          <cell r="C337" t="str">
            <v>Vakhskoye!1237</v>
          </cell>
          <cell r="D337">
            <v>55</v>
          </cell>
          <cell r="E337">
            <v>1237</v>
          </cell>
          <cell r="F337">
            <v>2268.4499999999998</v>
          </cell>
          <cell r="G337">
            <v>36705</v>
          </cell>
          <cell r="H337">
            <v>175</v>
          </cell>
          <cell r="I337">
            <v>81</v>
          </cell>
          <cell r="J337">
            <v>18.309840000000001</v>
          </cell>
          <cell r="K337">
            <v>23</v>
          </cell>
          <cell r="L337">
            <v>7</v>
          </cell>
          <cell r="M337">
            <v>93</v>
          </cell>
          <cell r="N337">
            <v>728</v>
          </cell>
          <cell r="O337">
            <v>151.64049999999997</v>
          </cell>
          <cell r="P337">
            <v>0</v>
          </cell>
          <cell r="R337">
            <v>0.98461011579871038</v>
          </cell>
          <cell r="S337">
            <v>0.98461011579871038</v>
          </cell>
          <cell r="T337">
            <v>146.10155824592104</v>
          </cell>
          <cell r="U337" t="str">
            <v>Old</v>
          </cell>
          <cell r="X337">
            <v>30</v>
          </cell>
          <cell r="Y337">
            <v>0.84689999999999999</v>
          </cell>
          <cell r="Z337">
            <v>-1.8653095218423283</v>
          </cell>
          <cell r="AA337">
            <v>-1.8649899999999999</v>
          </cell>
          <cell r="AB337">
            <v>-4.654675619955051</v>
          </cell>
          <cell r="AC337" t="str">
            <v>J-1/23,101</v>
          </cell>
          <cell r="AE337">
            <v>38.514000000000003</v>
          </cell>
          <cell r="AF337" t="str">
            <v>16/30</v>
          </cell>
          <cell r="AG337">
            <v>14.4</v>
          </cell>
          <cell r="AH337">
            <v>54.6</v>
          </cell>
          <cell r="AI337">
            <v>420</v>
          </cell>
          <cell r="AJ337">
            <v>5590.6842251950939</v>
          </cell>
          <cell r="AK337">
            <v>1</v>
          </cell>
          <cell r="AL337" t="str">
            <v>0.00884:-1.86499!146.10156</v>
          </cell>
          <cell r="AM337">
            <v>8.8400000000000006E-3</v>
          </cell>
          <cell r="AN337">
            <v>-1.8649899999999999</v>
          </cell>
          <cell r="AO337">
            <v>8.9213838212643642E-2</v>
          </cell>
          <cell r="AP337">
            <v>146.10156000000001</v>
          </cell>
          <cell r="AQ337">
            <v>146.10155824592104</v>
          </cell>
          <cell r="AR337">
            <v>0.86008465466135409</v>
          </cell>
          <cell r="AS337">
            <v>-2.593816816858177</v>
          </cell>
          <cell r="AT337">
            <v>0</v>
          </cell>
          <cell r="AU337" t="str">
            <v/>
          </cell>
          <cell r="AV337">
            <v>0</v>
          </cell>
          <cell r="AW337" t="str">
            <v>Proppant Pack damage=1%</v>
          </cell>
        </row>
        <row r="338">
          <cell r="C338" t="str">
            <v>Vakhskoye!1050</v>
          </cell>
          <cell r="D338">
            <v>55</v>
          </cell>
          <cell r="E338">
            <v>1050</v>
          </cell>
          <cell r="F338">
            <v>2271.5500000000002</v>
          </cell>
          <cell r="G338">
            <v>36701</v>
          </cell>
          <cell r="H338">
            <v>185</v>
          </cell>
          <cell r="I338">
            <v>81</v>
          </cell>
          <cell r="J338">
            <v>18.404</v>
          </cell>
          <cell r="K338">
            <v>25</v>
          </cell>
          <cell r="L338">
            <v>14</v>
          </cell>
          <cell r="M338">
            <v>86</v>
          </cell>
          <cell r="N338">
            <v>721</v>
          </cell>
          <cell r="O338">
            <v>152.54950000000002</v>
          </cell>
          <cell r="P338">
            <v>0</v>
          </cell>
          <cell r="R338">
            <v>0.77040415401919904</v>
          </cell>
          <cell r="S338">
            <v>0.77040415401919904</v>
          </cell>
          <cell r="T338">
            <v>114.31656609583955</v>
          </cell>
          <cell r="U338" t="str">
            <v>Old</v>
          </cell>
          <cell r="X338">
            <v>37.520000000000003</v>
          </cell>
          <cell r="Y338">
            <v>2.5831</v>
          </cell>
          <cell r="Z338">
            <v>-5.7378270721489759</v>
          </cell>
          <cell r="AA338">
            <v>-4.4437499999999996</v>
          </cell>
          <cell r="AB338">
            <v>-4.4450313848281722</v>
          </cell>
          <cell r="AC338" t="str">
            <v>J-1/23,100</v>
          </cell>
          <cell r="AE338">
            <v>39.476999999999997</v>
          </cell>
          <cell r="AF338" t="str">
            <v>16/30</v>
          </cell>
          <cell r="AG338">
            <v>18.2</v>
          </cell>
          <cell r="AH338">
            <v>37.700000000000003</v>
          </cell>
          <cell r="AI338">
            <v>420</v>
          </cell>
          <cell r="AJ338">
            <v>6566.4837699493437</v>
          </cell>
          <cell r="AK338">
            <v>1</v>
          </cell>
          <cell r="AL338" t="str">
            <v>1:-4.44375!225.02801</v>
          </cell>
          <cell r="AM338">
            <v>1</v>
          </cell>
          <cell r="AN338">
            <v>-4.4437499999999996</v>
          </cell>
          <cell r="AO338">
            <v>14.08725361594653</v>
          </cell>
          <cell r="AP338">
            <v>225.02800999999999</v>
          </cell>
          <cell r="AQ338">
            <v>114.31656609583955</v>
          </cell>
          <cell r="AR338">
            <v>3.3529185945579036</v>
          </cell>
          <cell r="AS338">
            <v>1.7451223931352482</v>
          </cell>
          <cell r="AT338">
            <v>0</v>
          </cell>
          <cell r="AU338" t="str">
            <v/>
          </cell>
          <cell r="AV338">
            <v>0</v>
          </cell>
          <cell r="AW338" t="str">
            <v>DAMMAGED formation S =1.7</v>
          </cell>
        </row>
        <row r="339">
          <cell r="C339" t="str">
            <v>Vakhskoye!2094</v>
          </cell>
          <cell r="D339">
            <v>51</v>
          </cell>
          <cell r="E339">
            <v>2094</v>
          </cell>
          <cell r="F339">
            <v>2292.4</v>
          </cell>
          <cell r="G339">
            <v>36709</v>
          </cell>
          <cell r="H339">
            <v>170</v>
          </cell>
          <cell r="I339">
            <v>77</v>
          </cell>
          <cell r="J339">
            <v>44.683199999999999</v>
          </cell>
          <cell r="K339">
            <v>58</v>
          </cell>
          <cell r="L339">
            <v>10</v>
          </cell>
          <cell r="M339">
            <v>90</v>
          </cell>
          <cell r="N339">
            <v>1287</v>
          </cell>
          <cell r="O339">
            <v>103.486</v>
          </cell>
          <cell r="P339">
            <v>0</v>
          </cell>
          <cell r="R339">
            <v>0.8719968728388009</v>
          </cell>
          <cell r="S339">
            <v>0.8719968728388009</v>
          </cell>
          <cell r="T339">
            <v>129.39142089147924</v>
          </cell>
          <cell r="U339" t="str">
            <v>Old</v>
          </cell>
          <cell r="X339">
            <v>30</v>
          </cell>
          <cell r="Y339">
            <v>1.2242</v>
          </cell>
          <cell r="Z339">
            <v>-3.8827816750749626</v>
          </cell>
          <cell r="AA339">
            <v>-3.8824700000000001</v>
          </cell>
          <cell r="AB339">
            <v>-4.3936133935163415</v>
          </cell>
          <cell r="AC339" t="str">
            <v>J-2/2,100</v>
          </cell>
          <cell r="AE339">
            <v>38</v>
          </cell>
          <cell r="AF339" t="str">
            <v>16/30</v>
          </cell>
          <cell r="AG339">
            <v>15.4</v>
          </cell>
          <cell r="AH339">
            <v>36</v>
          </cell>
          <cell r="AI339">
            <v>420</v>
          </cell>
          <cell r="AJ339">
            <v>7822.7931488801041</v>
          </cell>
          <cell r="AK339">
            <v>1</v>
          </cell>
          <cell r="AL339" t="str">
            <v>0.06995:-3.88247!129.39142</v>
          </cell>
          <cell r="AM339">
            <v>6.9949999999999998E-2</v>
          </cell>
          <cell r="AN339">
            <v>-3.8824700000000001</v>
          </cell>
          <cell r="AO339">
            <v>1.8090988876508094</v>
          </cell>
          <cell r="AP339">
            <v>129.39142000000001</v>
          </cell>
          <cell r="AQ339">
            <v>129.39142089147924</v>
          </cell>
          <cell r="AR339">
            <v>1.4037670182283861</v>
          </cell>
          <cell r="AS339" t="str">
            <v/>
          </cell>
          <cell r="AT339">
            <v>0</v>
          </cell>
          <cell r="AU339" t="str">
            <v/>
          </cell>
          <cell r="AV339">
            <v>0</v>
          </cell>
          <cell r="AW339" t="str">
            <v>Proppant Pack damage=7%</v>
          </cell>
        </row>
        <row r="340">
          <cell r="C340" t="str">
            <v>Vakhskoye!1030</v>
          </cell>
          <cell r="D340">
            <v>54</v>
          </cell>
          <cell r="E340">
            <v>1030</v>
          </cell>
          <cell r="F340">
            <v>2289.9</v>
          </cell>
          <cell r="G340">
            <v>36711</v>
          </cell>
          <cell r="H340">
            <v>183</v>
          </cell>
          <cell r="I340">
            <v>77</v>
          </cell>
          <cell r="J340">
            <v>8.2860800000000001</v>
          </cell>
          <cell r="K340">
            <v>11</v>
          </cell>
          <cell r="L340">
            <v>12</v>
          </cell>
          <cell r="M340">
            <v>88</v>
          </cell>
          <cell r="N340">
            <v>870</v>
          </cell>
          <cell r="O340">
            <v>140.791</v>
          </cell>
          <cell r="P340">
            <v>0</v>
          </cell>
          <cell r="R340">
            <v>0.26060792721931342</v>
          </cell>
          <cell r="S340">
            <v>0.26060792721931342</v>
          </cell>
          <cell r="T340">
            <v>38.670356567578885</v>
          </cell>
          <cell r="U340" t="str">
            <v>Old</v>
          </cell>
          <cell r="X340">
            <v>30</v>
          </cell>
          <cell r="Y340">
            <v>1.3458000000000001</v>
          </cell>
          <cell r="Z340">
            <v>-6.2064704203544121</v>
          </cell>
          <cell r="AA340">
            <v>-4.6151900000000001</v>
          </cell>
          <cell r="AB340">
            <v>-4.6286573246662837</v>
          </cell>
          <cell r="AC340" t="str">
            <v>J-2/2,92</v>
          </cell>
          <cell r="AE340">
            <v>36</v>
          </cell>
          <cell r="AF340" t="str">
            <v>16/30</v>
          </cell>
          <cell r="AG340">
            <v>24.5</v>
          </cell>
          <cell r="AH340">
            <v>43.2</v>
          </cell>
          <cell r="AI340">
            <v>420</v>
          </cell>
          <cell r="AJ340">
            <v>3881.9875776397512</v>
          </cell>
          <cell r="AK340">
            <v>1</v>
          </cell>
          <cell r="AL340" t="str">
            <v>1:-4.61519!96.45155</v>
          </cell>
          <cell r="AM340">
            <v>1</v>
          </cell>
          <cell r="AN340">
            <v>-4.6151900000000001</v>
          </cell>
          <cell r="AO340">
            <v>22.825866221265034</v>
          </cell>
          <cell r="AP340">
            <v>96.451549999999997</v>
          </cell>
          <cell r="AQ340">
            <v>38.670356567578885</v>
          </cell>
          <cell r="AR340">
            <v>4.5446261558646297</v>
          </cell>
          <cell r="AS340">
            <v>4.1005353295861768</v>
          </cell>
          <cell r="AT340">
            <v>0</v>
          </cell>
          <cell r="AU340" t="str">
            <v/>
          </cell>
          <cell r="AV340">
            <v>0</v>
          </cell>
          <cell r="AW340" t="str">
            <v>DAMMAGED formation S =4.1</v>
          </cell>
        </row>
        <row r="341">
          <cell r="C341" t="str">
            <v>Vakhskoye!2017</v>
          </cell>
          <cell r="D341">
            <v>54</v>
          </cell>
          <cell r="E341">
            <v>2017</v>
          </cell>
          <cell r="F341">
            <v>2308.1</v>
          </cell>
          <cell r="G341">
            <v>36712</v>
          </cell>
          <cell r="H341">
            <v>180</v>
          </cell>
          <cell r="I341">
            <v>77</v>
          </cell>
          <cell r="J341">
            <v>15.921600000000002</v>
          </cell>
          <cell r="K341">
            <v>20</v>
          </cell>
          <cell r="L341">
            <v>7</v>
          </cell>
          <cell r="M341">
            <v>93</v>
          </cell>
          <cell r="N341">
            <v>900</v>
          </cell>
          <cell r="O341">
            <v>139.72899999999998</v>
          </cell>
          <cell r="P341">
            <v>0</v>
          </cell>
          <cell r="R341">
            <v>0.49663529587047733</v>
          </cell>
          <cell r="S341">
            <v>0.49663529587047733</v>
          </cell>
          <cell r="T341">
            <v>73.693322303256181</v>
          </cell>
          <cell r="U341" t="str">
            <v>Old</v>
          </cell>
          <cell r="X341">
            <v>31.6</v>
          </cell>
          <cell r="Y341">
            <v>0.61329999999999996</v>
          </cell>
          <cell r="Z341">
            <v>-3.4460663522630695</v>
          </cell>
          <cell r="AA341">
            <v>-3.1992799999999999</v>
          </cell>
          <cell r="AB341">
            <v>-4.4240830276626273</v>
          </cell>
          <cell r="AC341" t="str">
            <v>J-2/2,95</v>
          </cell>
          <cell r="AE341">
            <v>32.994</v>
          </cell>
          <cell r="AF341" t="str">
            <v>20/40</v>
          </cell>
          <cell r="AG341">
            <v>17.7</v>
          </cell>
          <cell r="AH341">
            <v>38</v>
          </cell>
          <cell r="AI341">
            <v>250</v>
          </cell>
          <cell r="AJ341">
            <v>3332.5010665942673</v>
          </cell>
          <cell r="AK341">
            <v>1</v>
          </cell>
          <cell r="AL341" t="str">
            <v>0.02704:-3.19928!73.69332</v>
          </cell>
          <cell r="AM341">
            <v>2.7040000000000002E-2</v>
          </cell>
          <cell r="AN341">
            <v>-3.1992799999999999</v>
          </cell>
          <cell r="AO341">
            <v>0.56955875429362957</v>
          </cell>
          <cell r="AP341">
            <v>73.69332</v>
          </cell>
          <cell r="AQ341">
            <v>73.693322303256181</v>
          </cell>
          <cell r="AR341">
            <v>1.1562579850386601</v>
          </cell>
          <cell r="AS341" t="str">
            <v/>
          </cell>
          <cell r="AT341">
            <v>0</v>
          </cell>
          <cell r="AU341" t="str">
            <v/>
          </cell>
          <cell r="AV341">
            <v>0</v>
          </cell>
          <cell r="AW341" t="str">
            <v>Proppant Pack damage=3%</v>
          </cell>
        </row>
        <row r="342">
          <cell r="C342" t="str">
            <v>Vakhskoye!1213</v>
          </cell>
          <cell r="D342">
            <v>52</v>
          </cell>
          <cell r="E342">
            <v>1213</v>
          </cell>
          <cell r="F342">
            <v>2229</v>
          </cell>
          <cell r="G342">
            <v>36731</v>
          </cell>
          <cell r="H342">
            <v>195</v>
          </cell>
          <cell r="I342">
            <v>77</v>
          </cell>
          <cell r="J342">
            <v>25.739920000000001</v>
          </cell>
          <cell r="K342">
            <v>31</v>
          </cell>
          <cell r="L342">
            <v>3</v>
          </cell>
          <cell r="M342">
            <v>97</v>
          </cell>
          <cell r="N342">
            <v>940</v>
          </cell>
          <cell r="O342">
            <v>129.01</v>
          </cell>
          <cell r="P342">
            <v>0</v>
          </cell>
          <cell r="R342">
            <v>0.46976814668889222</v>
          </cell>
          <cell r="S342">
            <v>0.46976814668889222</v>
          </cell>
          <cell r="T342">
            <v>69.706635290731441</v>
          </cell>
          <cell r="U342" t="str">
            <v>Old</v>
          </cell>
          <cell r="X342">
            <v>30</v>
          </cell>
          <cell r="Y342">
            <v>1.6282000000000001</v>
          </cell>
          <cell r="Z342">
            <v>-5.7814106221217738</v>
          </cell>
          <cell r="AA342">
            <v>-4.8056200000000002</v>
          </cell>
          <cell r="AB342">
            <v>-4.7914104474621508</v>
          </cell>
          <cell r="AC342" t="str">
            <v>J-2/2,99</v>
          </cell>
          <cell r="AE342">
            <v>33.222000000000001</v>
          </cell>
          <cell r="AF342" t="str">
            <v>16/30</v>
          </cell>
          <cell r="AG342">
            <v>8.1</v>
          </cell>
          <cell r="AH342">
            <v>57.1</v>
          </cell>
          <cell r="AI342">
            <v>420</v>
          </cell>
          <cell r="AJ342">
            <v>8197.9661074308133</v>
          </cell>
          <cell r="AK342">
            <v>1</v>
          </cell>
          <cell r="AL342" t="str">
            <v>1:-4.80562!122.32685</v>
          </cell>
          <cell r="AM342">
            <v>1</v>
          </cell>
          <cell r="AN342">
            <v>-4.8056200000000002</v>
          </cell>
          <cell r="AO342">
            <v>9.5067754638530371</v>
          </cell>
          <cell r="AP342">
            <v>122.32684999999999</v>
          </cell>
          <cell r="AQ342">
            <v>69.706635290731441</v>
          </cell>
          <cell r="AR342">
            <v>3.4659578783231795</v>
          </cell>
          <cell r="AS342">
            <v>0.78822299286429409</v>
          </cell>
          <cell r="AT342">
            <v>0</v>
          </cell>
          <cell r="AU342" t="str">
            <v/>
          </cell>
          <cell r="AV342">
            <v>0</v>
          </cell>
          <cell r="AW342" t="str">
            <v>DAMMAGED formation S =0.8</v>
          </cell>
        </row>
        <row r="343">
          <cell r="C343" t="str">
            <v>Vakhskoye!1226</v>
          </cell>
          <cell r="D343">
            <v>54</v>
          </cell>
          <cell r="E343">
            <v>1226</v>
          </cell>
          <cell r="F343">
            <v>2239.15</v>
          </cell>
          <cell r="G343">
            <v>36737</v>
          </cell>
          <cell r="H343">
            <v>179</v>
          </cell>
          <cell r="I343">
            <v>81</v>
          </cell>
          <cell r="J343">
            <v>20.920640000000002</v>
          </cell>
          <cell r="K343">
            <v>26</v>
          </cell>
          <cell r="L343">
            <v>6</v>
          </cell>
          <cell r="M343">
            <v>94</v>
          </cell>
          <cell r="N343">
            <v>1370</v>
          </cell>
          <cell r="O343">
            <v>91.223500000000001</v>
          </cell>
          <cell r="P343">
            <v>0</v>
          </cell>
          <cell r="R343">
            <v>0.29620684351734233</v>
          </cell>
          <cell r="S343">
            <v>0.29620684351734233</v>
          </cell>
          <cell r="T343">
            <v>43.952708495061437</v>
          </cell>
          <cell r="U343" t="str">
            <v>Old</v>
          </cell>
          <cell r="X343">
            <v>30.72</v>
          </cell>
          <cell r="Y343">
            <v>1.2669999999999999</v>
          </cell>
          <cell r="Z343">
            <v>-6.0266312264397808</v>
          </cell>
          <cell r="AA343">
            <v>-4.5113700000000003</v>
          </cell>
          <cell r="AB343">
            <v>-4.5252321821843609</v>
          </cell>
          <cell r="AC343" t="str">
            <v>J-1/23,34</v>
          </cell>
          <cell r="AE343">
            <v>30.033000000000001</v>
          </cell>
          <cell r="AF343" t="str">
            <v>16/30</v>
          </cell>
          <cell r="AG343">
            <v>15.1</v>
          </cell>
          <cell r="AH343">
            <v>39.1</v>
          </cell>
          <cell r="AI343">
            <v>420</v>
          </cell>
          <cell r="AJ343">
            <v>5805.5916190885773</v>
          </cell>
          <cell r="AK343">
            <v>1</v>
          </cell>
          <cell r="AL343" t="str">
            <v>1:-4.51137!107.53786</v>
          </cell>
          <cell r="AM343">
            <v>1</v>
          </cell>
          <cell r="AN343">
            <v>-4.5113700000000003</v>
          </cell>
          <cell r="AO343">
            <v>20.849002587909965</v>
          </cell>
          <cell r="AP343">
            <v>107.53785999999999</v>
          </cell>
          <cell r="AQ343">
            <v>43.952708495061437</v>
          </cell>
          <cell r="AR343">
            <v>4.2774236861296089</v>
          </cell>
          <cell r="AS343">
            <v>3.8876050578565495</v>
          </cell>
          <cell r="AT343">
            <v>0</v>
          </cell>
          <cell r="AU343" t="str">
            <v/>
          </cell>
          <cell r="AV343">
            <v>0</v>
          </cell>
          <cell r="AW343" t="str">
            <v>DAMMAGED formation S =3.9</v>
          </cell>
        </row>
        <row r="344">
          <cell r="C344" t="str">
            <v>Sovetskoye!971</v>
          </cell>
          <cell r="D344">
            <v>92</v>
          </cell>
          <cell r="E344">
            <v>971</v>
          </cell>
          <cell r="F344">
            <v>1683.5</v>
          </cell>
          <cell r="G344">
            <v>36835</v>
          </cell>
          <cell r="H344">
            <v>145</v>
          </cell>
          <cell r="I344">
            <v>79</v>
          </cell>
          <cell r="J344">
            <v>24.858239999999999</v>
          </cell>
          <cell r="K344">
            <v>33</v>
          </cell>
          <cell r="L344">
            <v>12</v>
          </cell>
          <cell r="M344">
            <v>88</v>
          </cell>
          <cell r="N344">
            <v>1431</v>
          </cell>
          <cell r="O344">
            <v>35.725000000000001</v>
          </cell>
          <cell r="P344">
            <v>0</v>
          </cell>
          <cell r="R344">
            <v>0.33421352295602691</v>
          </cell>
          <cell r="S344">
            <v>0.33421352295602691</v>
          </cell>
          <cell r="T344">
            <v>85.933949243427065</v>
          </cell>
          <cell r="U344" t="str">
            <v>Old</v>
          </cell>
          <cell r="X344">
            <v>30</v>
          </cell>
          <cell r="Y344">
            <v>1.6598999999999999</v>
          </cell>
          <cell r="Z344">
            <v>-5.5109252979461694</v>
          </cell>
          <cell r="AA344">
            <v>-4.5707000000000004</v>
          </cell>
          <cell r="AB344">
            <v>-4.5</v>
          </cell>
          <cell r="AC344" t="str">
            <v>A-1,100</v>
          </cell>
          <cell r="AE344">
            <v>13.8</v>
          </cell>
          <cell r="AF344" t="str">
            <v>16/30</v>
          </cell>
          <cell r="AG344">
            <v>4.9000000000000004</v>
          </cell>
          <cell r="AH344">
            <v>53.7</v>
          </cell>
          <cell r="AI344">
            <v>420</v>
          </cell>
          <cell r="AJ344">
            <v>5985.6344772545881</v>
          </cell>
          <cell r="AK344">
            <v>1</v>
          </cell>
          <cell r="AL344" t="str">
            <v>1:-4.57070!137.62357</v>
          </cell>
          <cell r="AM344">
            <v>1</v>
          </cell>
          <cell r="AN344">
            <v>-4.5707000000000004</v>
          </cell>
          <cell r="AO344">
            <v>3.9686168074867774</v>
          </cell>
          <cell r="AP344">
            <v>137.62357</v>
          </cell>
          <cell r="AQ344">
            <v>85.933949243427065</v>
          </cell>
          <cell r="AR344">
            <v>4.9665817833804997</v>
          </cell>
          <cell r="AS344">
            <v>5.3590266841608072</v>
          </cell>
          <cell r="AT344">
            <v>0</v>
          </cell>
          <cell r="AU344" t="str">
            <v/>
          </cell>
          <cell r="AV344">
            <v>0</v>
          </cell>
          <cell r="AW344" t="str">
            <v>DAMMAGED formation S =5.4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5"/>
      <sheetName val="201а"/>
      <sheetName val="201б"/>
      <sheetName val="202"/>
      <sheetName val="203а"/>
      <sheetName val="Лист1"/>
      <sheetName val="203б"/>
      <sheetName val="форма"/>
      <sheetName val="Лист2"/>
      <sheetName val="Лист3"/>
      <sheetName val="освоение202"/>
      <sheetName val="ДОМНГ"/>
      <sheetName val="стат_пар1"/>
      <sheetName val="Прибыль опл"/>
      <sheetName val="СВОДНАЯ "/>
      <sheetName val="Анализ динам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G02"/>
      <sheetName val="Расчет Рзаб и Кпр"/>
      <sheetName val="индикаторная"/>
      <sheetName val="ГДХ скважины"/>
      <sheetName val="справочник"/>
      <sheetName val="потери на трение в НКТ"/>
      <sheetName val="допустимый угол "/>
      <sheetName val="КВУ"/>
      <sheetName val="потенциал"/>
      <sheetName val="потенциал-2"/>
      <sheetName val="ВАХ_Ю11"/>
      <sheetName val="З_П  А1,А2"/>
      <sheetName val="М_Ю"/>
      <sheetName val="Н_В_Б10"/>
      <sheetName val="З_П_Ю1"/>
      <sheetName val="сов_Б"/>
      <sheetName val="ЧК_Ю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тановки"/>
      <sheetName val="запуски"/>
    </sheetNames>
    <sheetDataSet>
      <sheetData sheetId="0"/>
      <sheetData sheetId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"/>
      <sheetName val="Изм.Кпр"/>
      <sheetName val="Анализ динамики"/>
      <sheetName val="мероприятия на июль"/>
      <sheetName val="Мероприятия на август"/>
    </sheetNames>
    <sheetDataSet>
      <sheetData sheetId="0" refreshError="1"/>
      <sheetData sheetId="1" refreshError="1"/>
      <sheetData sheetId="2" refreshError="1">
        <row r="9">
          <cell r="C9">
            <v>1102</v>
          </cell>
          <cell r="D9">
            <v>28974.389000000003</v>
          </cell>
          <cell r="E9">
            <v>225784.96600000001</v>
          </cell>
          <cell r="F9">
            <v>85.401378212329305</v>
          </cell>
        </row>
        <row r="12">
          <cell r="C12">
            <v>1102</v>
          </cell>
          <cell r="D12">
            <v>28974.389000000003</v>
          </cell>
          <cell r="E12">
            <v>225784.96600000001</v>
          </cell>
          <cell r="F12">
            <v>85.401378212329305</v>
          </cell>
        </row>
        <row r="13">
          <cell r="C13">
            <v>1102</v>
          </cell>
          <cell r="D13">
            <v>28974.389000000003</v>
          </cell>
          <cell r="E13">
            <v>225784.96600000001</v>
          </cell>
          <cell r="F13">
            <v>85.401378212329305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</row>
        <row r="15">
          <cell r="C15">
            <v>1139</v>
          </cell>
          <cell r="D15">
            <v>29924.473999999998</v>
          </cell>
          <cell r="E15">
            <v>231303.16600000003</v>
          </cell>
          <cell r="F15">
            <v>85.281940895856394</v>
          </cell>
        </row>
        <row r="16">
          <cell r="C16">
            <v>1080</v>
          </cell>
          <cell r="D16">
            <v>28797.260999999999</v>
          </cell>
          <cell r="E16">
            <v>225421.96600000001</v>
          </cell>
          <cell r="F16">
            <v>85.467340844432584</v>
          </cell>
        </row>
        <row r="17">
          <cell r="C17">
            <v>44</v>
          </cell>
          <cell r="D17">
            <v>958.86700000000008</v>
          </cell>
          <cell r="E17">
            <v>5577.2</v>
          </cell>
          <cell r="F17">
            <v>80.423086650074993</v>
          </cell>
        </row>
        <row r="18">
          <cell r="C18">
            <v>15</v>
          </cell>
          <cell r="D18">
            <v>168.346</v>
          </cell>
          <cell r="E18">
            <v>304</v>
          </cell>
          <cell r="F18">
            <v>36.945036274935106</v>
          </cell>
        </row>
        <row r="19">
          <cell r="C19">
            <v>77</v>
          </cell>
          <cell r="D19">
            <v>2104.4</v>
          </cell>
          <cell r="E19">
            <v>16198.5</v>
          </cell>
          <cell r="F19">
            <v>85.2295721493131</v>
          </cell>
        </row>
        <row r="20">
          <cell r="C20">
            <v>93</v>
          </cell>
          <cell r="D20">
            <v>2792.703</v>
          </cell>
          <cell r="E20">
            <v>19921.2</v>
          </cell>
          <cell r="F20">
            <v>84.061191735396108</v>
          </cell>
        </row>
        <row r="21">
          <cell r="C21">
            <v>-16</v>
          </cell>
          <cell r="D21">
            <v>-688.30299999999988</v>
          </cell>
          <cell r="E21">
            <v>-3722.7000000000007</v>
          </cell>
          <cell r="F21">
            <v>1.1683804139169922</v>
          </cell>
        </row>
        <row r="22">
          <cell r="C22">
            <v>1001</v>
          </cell>
          <cell r="D22">
            <v>26194.887000000002</v>
          </cell>
          <cell r="E22">
            <v>204590.766</v>
          </cell>
          <cell r="F22">
            <v>85.433933087434198</v>
          </cell>
        </row>
        <row r="23">
          <cell r="C23">
            <v>13</v>
          </cell>
          <cell r="D23">
            <v>393.36900000000003</v>
          </cell>
          <cell r="E23">
            <v>1331</v>
          </cell>
          <cell r="F23">
            <v>66.355412534105994</v>
          </cell>
        </row>
        <row r="25">
          <cell r="C25">
            <v>21</v>
          </cell>
          <cell r="D25">
            <v>459.40700000000004</v>
          </cell>
          <cell r="E25">
            <v>3596</v>
          </cell>
          <cell r="F25">
            <v>85.444690306858391</v>
          </cell>
        </row>
        <row r="26">
          <cell r="C26">
            <v>17</v>
          </cell>
          <cell r="D26">
            <v>261.74400000000003</v>
          </cell>
          <cell r="E26">
            <v>1648</v>
          </cell>
          <cell r="F26">
            <v>81.907308663865606</v>
          </cell>
        </row>
        <row r="27">
          <cell r="C27">
            <v>51</v>
          </cell>
          <cell r="D27">
            <v>1114.52</v>
          </cell>
          <cell r="E27">
            <v>6575</v>
          </cell>
          <cell r="F27">
            <v>80.693749825765607</v>
          </cell>
        </row>
        <row r="28">
          <cell r="C28">
            <v>1</v>
          </cell>
          <cell r="D28">
            <v>3.0290000000000004</v>
          </cell>
          <cell r="E28">
            <v>5</v>
          </cell>
          <cell r="F28">
            <v>31.002277904328</v>
          </cell>
        </row>
        <row r="29">
          <cell r="C29">
            <v>1</v>
          </cell>
          <cell r="D29">
            <v>3.0290000000000004</v>
          </cell>
          <cell r="E29">
            <v>5</v>
          </cell>
          <cell r="F29">
            <v>31.002277904328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C32">
            <v>7</v>
          </cell>
          <cell r="D32">
            <v>6.1929999999999996</v>
          </cell>
          <cell r="E32">
            <v>64</v>
          </cell>
          <cell r="F32">
            <v>88.983043435956688</v>
          </cell>
        </row>
        <row r="33">
          <cell r="C33">
            <v>1</v>
          </cell>
          <cell r="D33">
            <v>2.0299999999999998</v>
          </cell>
          <cell r="E33">
            <v>21</v>
          </cell>
          <cell r="F33">
            <v>89.002654531664788</v>
          </cell>
        </row>
        <row r="34">
          <cell r="C34">
            <v>1</v>
          </cell>
          <cell r="D34">
            <v>0.44</v>
          </cell>
          <cell r="E34">
            <v>10</v>
          </cell>
          <cell r="F34">
            <v>94.994311717861194</v>
          </cell>
        </row>
        <row r="35">
          <cell r="C35">
            <v>5</v>
          </cell>
          <cell r="D35">
            <v>3.7230000000000003</v>
          </cell>
          <cell r="E35">
            <v>33</v>
          </cell>
          <cell r="F35">
            <v>87.148967198716889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C40">
            <v>1136</v>
          </cell>
          <cell r="D40">
            <v>2634.2460000000001</v>
          </cell>
          <cell r="E40">
            <v>63398.2</v>
          </cell>
          <cell r="F40">
            <v>95.268726330446512</v>
          </cell>
        </row>
      </sheetData>
      <sheetData sheetId="3" refreshError="1"/>
      <sheetData sheetId="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97"/>
      <sheetName val="5.97"/>
    </sheetNames>
    <sheetDataSet>
      <sheetData sheetId="0"/>
      <sheetData sheetId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 по глушению"/>
      <sheetName val="СКО"/>
      <sheetName val="Таблица"/>
      <sheetName val="Лист3"/>
      <sheetName val="Протокол"/>
      <sheetName val="Лист_по_глушению"/>
      <sheetName val="остановки"/>
      <sheetName val="запуски"/>
      <sheetName val="11"/>
      <sheetName val="3.97"/>
      <sheetName val="5.97"/>
      <sheetName val="_ССЫЛКА"/>
      <sheetName val="total"/>
      <sheetName val="Комплектация"/>
      <sheetName val="трубы"/>
      <sheetName val="СМР"/>
      <sheetName val="дороги"/>
      <sheetName val="Февраль"/>
      <sheetName val="Destination"/>
      <sheetName val="Ввод"/>
      <sheetName val="3_97"/>
      <sheetName val="5_97"/>
      <sheetName val="прогноз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икаторная"/>
      <sheetName val="ВАХ_Ю11"/>
      <sheetName val="ВАХ_Ю1_2_3"/>
      <sheetName val="ВАХ_Ю22"/>
      <sheetName val="СЕВ_Б9"/>
      <sheetName val="сев_Б7"/>
      <sheetName val="СЕВ_Б4"/>
      <sheetName val="сов_А1"/>
      <sheetName val="сов_Б"/>
      <sheetName val="стр_Ю1"/>
      <sheetName val="З_П  А1,А2"/>
      <sheetName val="З_П_Ю1"/>
      <sheetName val="ЧК_Ю1"/>
      <sheetName val="М_Ю"/>
      <sheetName val="Н_В_Б10"/>
      <sheetName val="ЧКЛ PZ"/>
      <sheetName val="свод плотностей"/>
      <sheetName val="Модуль1"/>
      <sheetName val="З_П  А1_А2"/>
      <sheetName val="Д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евраль"/>
    </sheetNames>
    <sheetDataSet>
      <sheetData sheetId="0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крос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МНГ"/>
    </sheetNames>
    <sheetDataSet>
      <sheetData sheetId="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"/>
      <sheetName val="фев"/>
      <sheetName val="март"/>
      <sheetName val="апр"/>
      <sheetName val="май"/>
      <sheetName val="июн"/>
      <sheetName val="июл"/>
      <sheetName val="авг"/>
      <sheetName val="потенциал"/>
      <sheetName val="Сутки"/>
      <sheetName val="Лист3"/>
      <sheetName val="EKDEB90"/>
      <sheetName val="СУТТ"/>
      <sheetName val="Дополнительно"/>
      <sheetName val="Исходные данные"/>
      <sheetName val="Параметры"/>
      <sheetName val="остановки"/>
      <sheetName val="запу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рапорт98"/>
      <sheetName val="Face"/>
      <sheetName val="расчет"/>
      <sheetName val="input"/>
      <sheetName val="база"/>
      <sheetName val="ввод"/>
      <sheetName val="Макрос3"/>
      <sheetName val="стат.пар"/>
      <sheetName val="Лист5"/>
      <sheetName val="ЦДНГ_юнг"/>
      <sheetName val="Закрытие "/>
      <sheetName val="стат_пар"/>
      <sheetName val="июл"/>
      <sheetName val="Production and Spend"/>
      <sheetName val="Сутки"/>
      <sheetName val="Лист3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>
        <row r="4">
          <cell r="N4" t="str">
            <v>Правд</v>
          </cell>
        </row>
        <row r="5">
          <cell r="N5" t="str">
            <v>Вост.</v>
          </cell>
        </row>
        <row r="6">
          <cell r="N6" t="str">
            <v>цднг2</v>
          </cell>
        </row>
        <row r="7">
          <cell r="N7" t="str">
            <v>цднг3</v>
          </cell>
        </row>
        <row r="8">
          <cell r="N8" t="str">
            <v>Зап.Сал.</v>
          </cell>
        </row>
        <row r="9">
          <cell r="N9" t="str">
            <v>Лемп.</v>
          </cell>
        </row>
        <row r="10">
          <cell r="N10" t="str">
            <v>цднг5</v>
          </cell>
        </row>
        <row r="11">
          <cell r="N11" t="str">
            <v>цднг6</v>
          </cell>
        </row>
        <row r="12">
          <cell r="N12" t="str">
            <v>цднг7</v>
          </cell>
        </row>
        <row r="27">
          <cell r="N27" t="str">
            <v>Правд</v>
          </cell>
        </row>
        <row r="28">
          <cell r="N28" t="str">
            <v>Вост.</v>
          </cell>
        </row>
        <row r="29">
          <cell r="N29" t="str">
            <v>С.Сал.</v>
          </cell>
        </row>
        <row r="30">
          <cell r="N30" t="str">
            <v>ДНС-1</v>
          </cell>
        </row>
        <row r="31">
          <cell r="N31" t="str">
            <v>Зап.Сал.</v>
          </cell>
        </row>
        <row r="32">
          <cell r="N32" t="str">
            <v>Лемп.</v>
          </cell>
        </row>
        <row r="33">
          <cell r="N33" t="str">
            <v>ДНС-2</v>
          </cell>
        </row>
        <row r="34">
          <cell r="N34" t="str">
            <v>Лев.берег</v>
          </cell>
        </row>
        <row r="35">
          <cell r="N35" t="str">
            <v>ДНС-1</v>
          </cell>
        </row>
        <row r="60">
          <cell r="N60" t="str">
            <v>потери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р."/>
    </sheetNames>
    <sheetDataSet>
      <sheetData sheetId="0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Запуски"/>
      <sheetName val="Остановки"/>
      <sheetName val="ШГН "/>
      <sheetName val="3.3.31."/>
      <sheetName val="ПС"/>
      <sheetName val="ТОП"/>
      <sheetName val="TMP"/>
      <sheetName val="Лист глушения "/>
      <sheetName val="Вспом"/>
      <sheetName val="ШГН_"/>
      <sheetName val="3_3_31_"/>
      <sheetName val="Общий"/>
      <sheetName val="Строки"/>
      <sheetName val="Итог"/>
      <sheetName val="апр."/>
      <sheetName val="ПОЛУД"/>
      <sheetName val="Спр_общий"/>
      <sheetName val="1.401.2"/>
      <sheetName val="infor4"/>
      <sheetName val="Настр"/>
      <sheetName val="ФОТ"/>
      <sheetName val="В работе"/>
      <sheetName val="ЦДНГ-1"/>
      <sheetName val="классификатор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Запуски"/>
      <sheetName val="Запуски (2)"/>
      <sheetName val="Остановки"/>
      <sheetName val="ШГН "/>
      <sheetName val="Остановки (2)"/>
      <sheetName val="Запуски_(2)"/>
      <sheetName val="ШГН_"/>
      <sheetName val="Остановки_(2)"/>
      <sheetName val="апр_"/>
      <sheetName val="3.3.31."/>
      <sheetName val="ПС"/>
      <sheetName val="infor4"/>
      <sheetName val="Февраль"/>
      <sheetName val="Итог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юн"/>
      <sheetName val="Накопит."/>
      <sheetName val="Остановл."/>
      <sheetName val="Ввод"/>
      <sheetName val="ГРП"/>
      <sheetName val="ИДН"/>
      <sheetName val="ТКРС"/>
      <sheetName val="Опт "/>
      <sheetName val="Снижение производительности"/>
      <sheetName val="Расчет май"/>
      <sheetName val="График"/>
      <sheetName val="БД"/>
      <sheetName val="ППД"/>
      <sheetName val="Опт.ячеек"/>
      <sheetName val="Итог"/>
      <sheetName val="окт (3)"/>
      <sheetName val="мероприятия 1"/>
      <sheetName val="таблица"/>
      <sheetName val="расчет"/>
      <sheetName val="мероприятия 2"/>
      <sheetName val="Диаграмма3"/>
      <sheetName val="мероприятия 2 (2)"/>
      <sheetName val="ит.эцн,шгн"/>
      <sheetName val="КРС"/>
      <sheetName val="Итог "/>
      <sheetName val="июнь"/>
      <sheetName val="График  ЦДНГ-3"/>
      <sheetName val="топ-20"/>
      <sheetName val="#ССЫЛКА"/>
      <sheetName val="Расчёт_входной_10"/>
      <sheetName val="Расчёт_добычи_10"/>
      <sheetName val="Входная_10факт"/>
      <sheetName val="Расчёт_входной_11"/>
      <sheetName val="Расчёт_ добычи_ноябрь"/>
      <sheetName val="гр_ПНФ"/>
      <sheetName val="гр_НРФ"/>
      <sheetName val="Снижение(25.11)"/>
      <sheetName val="Снижение(30.11)"/>
      <sheetName val="Снижение(23.12)"/>
      <sheetName val="график "/>
      <sheetName val="расч вых"/>
      <sheetName val="Дебит ПКРС"/>
      <sheetName val="Доклад"/>
      <sheetName val="Селектор-2"/>
      <sheetName val="Отказы"/>
      <sheetName val="Вывоз НКТ"/>
      <sheetName val="Селектор"/>
      <sheetName val="Угут авт-я весна 2002"/>
      <sheetName val="Откл эл.э"/>
      <sheetName val="Т-ф Угут"/>
      <sheetName val="Дебит ПРС"/>
      <sheetName val="Дебит КРС"/>
      <sheetName val="ВОДОВОД"/>
      <sheetName val="Манойл"/>
      <sheetName val="Свод. -2 "/>
      <sheetName val="Подарки"/>
      <sheetName val="Обводненн."/>
      <sheetName val="Сетевой график меропр. (сент)"/>
      <sheetName val="Сетевой график меропр. (окт)"/>
      <sheetName val="Сетевой график меропр. (ноябрь)"/>
      <sheetName val="Сетевой график меропр. (дек)"/>
      <sheetName val="ИДН "/>
      <sheetName val="ССФ"/>
      <sheetName val="5оптим"/>
      <sheetName val="Увеличение частоты"/>
      <sheetName val="Слом фонд"/>
      <sheetName val="сетевой ПКРС"/>
      <sheetName val="Слом фонд по скв"/>
      <sheetName val="Исполнение _освоение по закупк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УП _2004"/>
      <sheetName val="Корректировка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Аренда бур_трубы"/>
      <sheetName val="анализ 2003_2004исполнение МТО"/>
      <sheetName val="ИП 2005 по Колве"/>
      <sheetName val="ИП 2005 по Колве (2)"/>
      <sheetName val="ИП 2005 на 8 бригад"/>
      <sheetName val="ИП 2005 на 14 "/>
      <sheetName val="ИП 2005 на 14  (2)"/>
      <sheetName val="Макрос1"/>
      <sheetName val="t"/>
      <sheetName val="Sheet1"/>
      <sheetName val="InBaze"/>
      <sheetName val="OutBaze "/>
      <sheetName val="Temp"/>
      <sheetName val="Мест"/>
      <sheetName val="Шаблон"/>
      <sheetName val="Снижение по 150,151"/>
      <sheetName val="База"/>
      <sheetName val="Рост"/>
      <sheetName val="Снижение"/>
      <sheetName val=" График расч "/>
      <sheetName val="Оперативная"/>
      <sheetName val="1"/>
      <sheetName val="2"/>
      <sheetName val="3"/>
      <sheetName val="28.02.2010 - 31.03.2010"/>
      <sheetName val="Customer-Well Info "/>
      <sheetName val="Customer-Well Info (Rus)"/>
      <sheetName val="Liner Job Info"/>
      <sheetName val="Calculations"/>
      <sheetName val="Casing Tally"/>
      <sheetName val="Casing Tally (Rus)"/>
      <sheetName val="Liner Tally"/>
      <sheetName val="Liner Tally (Rus)"/>
      <sheetName val="Check list "/>
      <sheetName val="Job Log"/>
      <sheetName val="Job Log (Rus)"/>
      <sheetName val="Tool Sheet"/>
      <sheetName val="Customer-Well Info TST"/>
      <sheetName val="Weight Calculations"/>
      <sheetName val="Displacement Cal."/>
      <sheetName val="Tally"/>
      <sheetName val="Checklist"/>
      <sheetName val="Test"/>
      <sheetName val="Grade"/>
      <sheetName val="Bonus Pay"/>
      <sheetName val="Database"/>
      <sheetName val="Drawing"/>
      <sheetName val="DATA"/>
      <sheetName val="Casing Info"/>
      <sheetName val="f1"/>
      <sheetName val="График на февраль"/>
      <sheetName val="График факт"/>
      <sheetName val="Увеличение частоты ПР"/>
      <sheetName val="Мероприятия-февраль"/>
      <sheetName val="ППД -февраль"/>
      <sheetName val="Консервация, ликвидация"/>
      <sheetName val="Потери "/>
      <sheetName val="Потери"/>
      <sheetName val="ИТОГ ПР (2)"/>
      <sheetName val="прогноз "/>
      <sheetName val="Потери (2)"/>
      <sheetName val="ЦИТС  7"/>
      <sheetName val="settings"/>
      <sheetName val="SqlQueries"/>
      <sheetName val="DailyReportTemplate"/>
      <sheetName val="Well_Start_Template"/>
      <sheetName val="Well_Stop_Template"/>
      <sheetName val="Moveout_Template"/>
      <sheetName val="Oil_Losses_Template"/>
      <sheetName val="moveout_map_template"/>
      <sheetName val="full_moveout_map_template"/>
      <sheetName val="balance_template"/>
      <sheetName val="apv_template"/>
      <sheetName val="apvs_template"/>
      <sheetName val="Накопит_"/>
      <sheetName val="Остановл_"/>
      <sheetName val="Лист1"/>
      <sheetName val="Лист2"/>
      <sheetName val="Лист3"/>
      <sheetName val="Изм дебитов по базе ПРВ"/>
      <sheetName val="Изм дебитов по базе ПРБ"/>
      <sheetName val="изм по выв"/>
      <sheetName val="на выводе"/>
      <sheetName val="изм.по выв."/>
      <sheetName val="на выв"/>
      <sheetName val="изм по выв."/>
      <sheetName val="На выводе 06.05"/>
      <sheetName val="На выводе "/>
      <sheetName val="Отчет"/>
      <sheetName val="анализ"/>
      <sheetName val="Анализ динамики"/>
      <sheetName val="Мероприятия августа"/>
      <sheetName val="Мероприятия на сентябрь"/>
      <sheetName val="Оперативная "/>
      <sheetName val="КНС"/>
      <sheetName val="В-12"/>
      <sheetName val="В-14"/>
      <sheetName val="Сводная"/>
      <sheetName val="SOBJN_план"/>
      <sheetName val="Обустройство"/>
      <sheetName val="ВЫВОД-14"/>
      <sheetName val="ВЫВОД-12"/>
      <sheetName val="ГРП (2)"/>
      <sheetName val="Изм.Кпр"/>
      <sheetName val="Мероприятия на октябрь "/>
      <sheetName val="Мероприятия за сентябрь"/>
      <sheetName val="Запуски-остановы"/>
      <sheetName val="мероприятия на июль"/>
      <sheetName val="Мероприятия на август"/>
      <sheetName val="Мероприятия за июнь"/>
      <sheetName val="ППД   МР"/>
      <sheetName val="МР"/>
      <sheetName val="Накопление"/>
      <sheetName val="сетевой (3бр)"/>
      <sheetName val="Обводнение"/>
      <sheetName val="Диалог1"/>
      <sheetName val="март"/>
      <sheetName val="Мер апр"/>
      <sheetName val="Контроль"/>
      <sheetName val="Баланс факт"/>
      <sheetName val="План из СГ"/>
      <sheetName val="Диагр Бал База"/>
      <sheetName val="Диагр Бал ГТМ"/>
      <sheetName val="Анализ БФ"/>
      <sheetName val="20362(1)"/>
      <sheetName val="2073"/>
      <sheetName val="20314"/>
      <sheetName val="770"/>
      <sheetName val="20362"/>
      <sheetName val="942"/>
      <sheetName val="Gulf Example"/>
      <sheetName val="Gulf Example (2)"/>
      <sheetName val="Sheet1 (2)"/>
      <sheetName val="Gulf Example _2_"/>
      <sheetName val="Customer-Well Info"/>
      <sheetName val="Цены"/>
      <sheetName val="6.06.04"/>
      <sheetName val="DS"/>
      <sheetName val="FQC"/>
      <sheetName val="QC"/>
      <sheetName val="SM"/>
      <sheetName val="SM (2)"/>
      <sheetName val="TRAKT"/>
      <sheetName val="FJPR"/>
      <sheetName val="list"/>
      <sheetName val="DVD (2)"/>
      <sheetName val="Химия"/>
      <sheetName val="25.11"/>
      <sheetName val="свод"/>
      <sheetName val="юн"/>
      <sheetName val="мн"/>
      <sheetName val="мсн"/>
      <sheetName val="пн"/>
      <sheetName val="домнг"/>
      <sheetName val="Вариант в лимитах от13.02"/>
      <sheetName val="Вар. в лимитах от16.02"/>
      <sheetName val="Вариант с бурением"/>
      <sheetName val="Вариант с бурением MAX"/>
      <sheetName val="Вариант промежуточный"/>
      <sheetName val="Вариант с бурением (2)"/>
      <sheetName val="Вариант с бурением МАХ (2)"/>
      <sheetName val="Вариант промежуточный(2)"/>
      <sheetName val="Меропр_отч"/>
      <sheetName val="Частота_отч"/>
      <sheetName val="Факт.сет.график"/>
      <sheetName val="Меропр_план"/>
      <sheetName val="Сетевой график"/>
      <sheetName val="Частота_план"/>
      <sheetName val="Ежес. мониторинг"/>
      <sheetName val="ППД_отч"/>
      <sheetName val="ППД_план"/>
      <sheetName val="ТОР-20 Marat"/>
      <sheetName val="таблица 2001"/>
      <sheetName val="Таблица 2002"/>
      <sheetName val="потенциал"/>
      <sheetName val="НГДУ МН"/>
      <sheetName val="НГДУ МН (2)"/>
      <sheetName val="ТОР-20 МЭРобщ"/>
      <sheetName val="ТОР-20 МЭРобщ прир"/>
      <sheetName val="ТОР доп добыча"/>
      <sheetName val="дан по группе скв"/>
      <sheetName val="группа апрель"/>
      <sheetName val="группа февраль"/>
      <sheetName val="группа январь"/>
      <sheetName val="цеха"/>
      <sheetName val="График план факт Регион"/>
      <sheetName val="Мероприятия ПР"/>
      <sheetName val="ППД ПР2"/>
      <sheetName val="Мониторинг потерь"/>
      <sheetName val="ПФ под ГТМ"/>
      <sheetName val="bad-100"/>
      <sheetName val="Прб (Прав.б.)-ППД"/>
      <sheetName val="КНС-1 (к.203)"/>
      <sheetName val="КНС-1А (к.203)"/>
      <sheetName val="КНС-1Бис (к.203)"/>
      <sheetName val="КНС-4 (к.251)"/>
      <sheetName val="КНС-4Бис (к.251)"/>
      <sheetName val="КНС-2 (к.212)"/>
      <sheetName val="КНС-2А (к.212)"/>
      <sheetName val="КНС-3 (к.244)"/>
      <sheetName val="КНС-3р (к.244)"/>
      <sheetName val="КНС-3А (к.210)"/>
      <sheetName val="КНС-216 (к.216)"/>
      <sheetName val="КНС-2к.216"/>
      <sheetName val="КНС-к.301"/>
      <sheetName val="КНС-к.225"/>
      <sheetName val="ПлНС-1"/>
      <sheetName val="ПлНС-2"/>
      <sheetName val="ПлНС-3"/>
      <sheetName val="Прб (Горш.пл.)-ППД"/>
      <sheetName val="КНС-к.Т99"/>
      <sheetName val="Прб (Лев.б.)-ППД"/>
      <sheetName val="КНС-1,1А"/>
      <sheetName val="КНС-1Б"/>
      <sheetName val="КНС-к.143"/>
      <sheetName val="КНС-2к.143"/>
      <sheetName val="КНС-к.148"/>
      <sheetName val="КНС-к.164"/>
      <sheetName val="КНС-к.175"/>
      <sheetName val="КНС-к.178"/>
      <sheetName val="ПлНС ЛБ"/>
      <sheetName val="ПлНС-180р"/>
      <sheetName val="Прб (Мон.о.)-ППД"/>
      <sheetName val="КНС-6"/>
      <sheetName val="КНС-7"/>
      <sheetName val="КНС-8"/>
      <sheetName val="КНС-5"/>
      <sheetName val="ПлНС-1 (к.283)"/>
      <sheetName val="ПлНС-2 (к.290)"/>
      <sheetName val="Д, З изм.жидк"/>
      <sheetName val="План по м.р."/>
      <sheetName val="По цехам "/>
      <sheetName val="Добыча по объектам "/>
      <sheetName val="нефть (мест-я) спос."/>
      <sheetName val="жидкость (мест-я) спос. "/>
      <sheetName val="нефть (ЦДНГ) спос."/>
      <sheetName val="жидкость (ЦДНГ) спос."/>
      <sheetName val="По цехам (жид м3)"/>
      <sheetName val="Параметры"/>
      <sheetName val="Форма1"/>
      <sheetName val="Форма2 (отгрузка)"/>
      <sheetName val="Расшифр.отд.ПУ"/>
      <sheetName val="Форма3"/>
      <sheetName val="Форма4"/>
      <sheetName val="Форма 5"/>
      <sheetName val="Форма1 (таб.1)"/>
      <sheetName val="Форма2 (таб.2)"/>
      <sheetName val="Форма3 (таб.3)"/>
      <sheetName val="Форма5 (таб.5)"/>
      <sheetName val="Форма24"/>
      <sheetName val="Форма6 (таб.6)"/>
      <sheetName val="Форма8 (таб.8)"/>
      <sheetName val="Форма9 (таб.9)"/>
      <sheetName val="Форма10 (таб.10)"/>
      <sheetName val="Форма12(таб 12)"/>
      <sheetName val="Форма бюджет (т.22)"/>
      <sheetName val="Форма4 (валюта)"/>
      <sheetName val="Пост от партн - часть1"/>
      <sheetName val="останов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/>
      <sheetData sheetId="77"/>
      <sheetData sheetId="78"/>
      <sheetData sheetId="79"/>
      <sheetData sheetId="80"/>
      <sheetData sheetId="81"/>
      <sheetData sheetId="82" refreshError="1"/>
      <sheetData sheetId="83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/>
      <sheetData sheetId="99"/>
      <sheetData sheetId="100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/>
      <sheetData sheetId="216"/>
      <sheetData sheetId="217" refreshError="1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 refreshError="1"/>
      <sheetData sheetId="229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П "/>
      <sheetName val="ИДН"/>
      <sheetName val="ДП"/>
      <sheetName val="ГРП  (2)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тановки"/>
      <sheetName val="запуски"/>
      <sheetName val="07"/>
      <sheetName val="простои"/>
      <sheetName val="Фонд ЭЦН 11.02 "/>
      <sheetName val="Фонд ЭЦН 12.02 "/>
      <sheetName val="Фонд ЭЦН 1.03   "/>
      <sheetName val="Фонд ЭЦН 2.03"/>
      <sheetName val="Фонд ЭЦН 2.03 "/>
      <sheetName val="Фонд ЭЦН 3.03 тек"/>
      <sheetName val="прост.03.03"/>
      <sheetName val="текущ03.03"/>
      <sheetName val="текущ04.03"/>
      <sheetName val="ДОМНГ"/>
      <sheetName val="стат.пар"/>
      <sheetName val="Ввод"/>
      <sheetName val="Фонд_ЭЦН_11_02_"/>
      <sheetName val="Фонд_ЭЦН_12_02_"/>
      <sheetName val="Фонд_ЭЦН_1_03___"/>
      <sheetName val="Фонд_ЭЦН_2_03"/>
      <sheetName val="Фонд_ЭЦН_2_03_"/>
      <sheetName val="Фонд_ЭЦН_3_03_тек"/>
      <sheetName val="прост_03_03"/>
      <sheetName val="текущ03_03"/>
      <sheetName val="текущ04_03"/>
      <sheetName val="DAY"/>
      <sheetName val="параметры"/>
      <sheetName val="Результат"/>
      <sheetName val="VAR"/>
      <sheetName val="Лист3"/>
      <sheetName val="ИД"/>
      <sheetName val="мсн"/>
      <sheetName val="2.98"/>
      <sheetName val="3.98"/>
    </sheetNames>
    <sheetDataSet>
      <sheetData sheetId="0" refreshError="1">
        <row r="1">
          <cell r="Q1" t="str">
            <v>Ceh</v>
          </cell>
          <cell r="R1" t="str">
            <v>MRP</v>
          </cell>
          <cell r="S1" t="str">
            <v>Ceh</v>
          </cell>
          <cell r="T1" t="str">
            <v>MRP</v>
          </cell>
          <cell r="U1" t="str">
            <v>Ceh</v>
          </cell>
          <cell r="V1" t="str">
            <v>MRP</v>
          </cell>
          <cell r="W1" t="str">
            <v>Ceh</v>
          </cell>
          <cell r="X1" t="str">
            <v>MRP</v>
          </cell>
          <cell r="Y1" t="str">
            <v>Ceh</v>
          </cell>
          <cell r="Z1" t="str">
            <v>MRP</v>
          </cell>
          <cell r="AA1" t="str">
            <v>Ceh</v>
          </cell>
          <cell r="AB1" t="str">
            <v>MRP</v>
          </cell>
          <cell r="AC1" t="str">
            <v>prich</v>
          </cell>
          <cell r="AD1" t="str">
            <v>Ceh</v>
          </cell>
          <cell r="AE1" t="str">
            <v>prich</v>
          </cell>
          <cell r="AF1" t="str">
            <v>Ceh</v>
          </cell>
          <cell r="AG1" t="str">
            <v>prich</v>
          </cell>
          <cell r="AH1" t="str">
            <v>Ceh</v>
          </cell>
          <cell r="AI1" t="str">
            <v>prich</v>
          </cell>
          <cell r="AJ1" t="str">
            <v>Ceh</v>
          </cell>
          <cell r="AK1" t="str">
            <v>prich</v>
          </cell>
          <cell r="AL1" t="str">
            <v>Ceh</v>
          </cell>
          <cell r="AM1" t="str">
            <v>prich</v>
          </cell>
          <cell r="AN1" t="str">
            <v>Ceh</v>
          </cell>
        </row>
        <row r="2">
          <cell r="Q2">
            <v>1</v>
          </cell>
          <cell r="R2" t="str">
            <v>&gt;0</v>
          </cell>
          <cell r="S2">
            <v>2</v>
          </cell>
          <cell r="T2" t="str">
            <v>&gt;0</v>
          </cell>
          <cell r="U2">
            <v>3</v>
          </cell>
          <cell r="V2" t="str">
            <v>&gt;0</v>
          </cell>
          <cell r="W2">
            <v>4</v>
          </cell>
          <cell r="X2" t="str">
            <v>&gt;0</v>
          </cell>
          <cell r="Y2">
            <v>5</v>
          </cell>
          <cell r="Z2" t="str">
            <v>&gt;0</v>
          </cell>
          <cell r="AA2">
            <v>6</v>
          </cell>
          <cell r="AB2" t="str">
            <v>&gt;0</v>
          </cell>
          <cell r="AC2" t="str">
            <v>R-0</v>
          </cell>
          <cell r="AD2">
            <v>1</v>
          </cell>
          <cell r="AE2" t="str">
            <v>R-0</v>
          </cell>
          <cell r="AF2">
            <v>2</v>
          </cell>
          <cell r="AG2" t="str">
            <v>R-0</v>
          </cell>
          <cell r="AH2">
            <v>3</v>
          </cell>
          <cell r="AI2" t="str">
            <v>R-0</v>
          </cell>
          <cell r="AJ2">
            <v>4</v>
          </cell>
          <cell r="AK2" t="str">
            <v>R-0</v>
          </cell>
          <cell r="AL2">
            <v>5</v>
          </cell>
          <cell r="AM2" t="str">
            <v>R-0</v>
          </cell>
          <cell r="AN2">
            <v>6</v>
          </cell>
        </row>
        <row r="4">
          <cell r="A4" t="str">
            <v>№</v>
          </cell>
          <cell r="B4" t="str">
            <v>Mest</v>
          </cell>
          <cell r="C4" t="str">
            <v>Ceh</v>
          </cell>
          <cell r="D4" t="str">
            <v>Kust</v>
          </cell>
          <cell r="E4" t="str">
            <v>Skv</v>
          </cell>
          <cell r="F4" t="str">
            <v>SpExp</v>
          </cell>
          <cell r="G4" t="str">
            <v>d_ost</v>
          </cell>
          <cell r="H4" t="str">
            <v>prich</v>
          </cell>
          <cell r="I4" t="str">
            <v>MRP</v>
          </cell>
          <cell r="J4" t="str">
            <v>Qg</v>
          </cell>
          <cell r="K4" t="str">
            <v>Qn</v>
          </cell>
          <cell r="L4" t="str">
            <v>typ</v>
          </cell>
          <cell r="M4" t="str">
            <v>H</v>
          </cell>
          <cell r="N4" t="str">
            <v>Prim</v>
          </cell>
        </row>
        <row r="5">
          <cell r="A5">
            <v>71</v>
          </cell>
          <cell r="B5" t="str">
            <v>Прз</v>
          </cell>
          <cell r="C5">
            <v>3</v>
          </cell>
          <cell r="D5">
            <v>154</v>
          </cell>
          <cell r="E5">
            <v>6601</v>
          </cell>
          <cell r="F5" t="str">
            <v>ЭЦН</v>
          </cell>
          <cell r="G5">
            <v>37092</v>
          </cell>
          <cell r="H5" t="str">
            <v>R-0</v>
          </cell>
          <cell r="I5">
            <v>25</v>
          </cell>
          <cell r="J5">
            <v>13</v>
          </cell>
          <cell r="K5">
            <v>10.91818</v>
          </cell>
          <cell r="L5" t="str">
            <v>60-1300</v>
          </cell>
          <cell r="M5">
            <v>1758</v>
          </cell>
          <cell r="N5" t="str">
            <v>ОПРС</v>
          </cell>
        </row>
        <row r="6">
          <cell r="A6">
            <v>72</v>
          </cell>
          <cell r="B6" t="str">
            <v>Прз</v>
          </cell>
          <cell r="C6">
            <v>3</v>
          </cell>
          <cell r="D6">
            <v>58</v>
          </cell>
          <cell r="E6">
            <v>226</v>
          </cell>
          <cell r="F6" t="str">
            <v>ЭЦН</v>
          </cell>
          <cell r="G6">
            <v>37092</v>
          </cell>
          <cell r="H6" t="str">
            <v>R-0</v>
          </cell>
          <cell r="I6">
            <v>72</v>
          </cell>
          <cell r="J6">
            <v>30</v>
          </cell>
          <cell r="K6">
            <v>20.825100000000003</v>
          </cell>
          <cell r="L6" t="str">
            <v>60-1200</v>
          </cell>
          <cell r="M6">
            <v>1901</v>
          </cell>
          <cell r="N6" t="str">
            <v>ОПРС</v>
          </cell>
        </row>
        <row r="7">
          <cell r="A7">
            <v>110</v>
          </cell>
          <cell r="B7" t="str">
            <v>Лем</v>
          </cell>
          <cell r="C7">
            <v>4</v>
          </cell>
          <cell r="D7">
            <v>32</v>
          </cell>
          <cell r="E7">
            <v>539</v>
          </cell>
          <cell r="F7" t="str">
            <v>ЭЦН</v>
          </cell>
          <cell r="G7">
            <v>37092</v>
          </cell>
          <cell r="H7" t="str">
            <v>R-0</v>
          </cell>
          <cell r="I7">
            <v>108</v>
          </cell>
          <cell r="J7">
            <v>25</v>
          </cell>
          <cell r="K7">
            <v>7</v>
          </cell>
          <cell r="L7" t="str">
            <v>50-1300</v>
          </cell>
          <cell r="M7">
            <v>1640</v>
          </cell>
          <cell r="N7" t="str">
            <v>ПРС</v>
          </cell>
        </row>
        <row r="8">
          <cell r="A8">
            <v>146</v>
          </cell>
          <cell r="B8" t="str">
            <v>Прз</v>
          </cell>
          <cell r="C8">
            <v>5</v>
          </cell>
          <cell r="D8">
            <v>132</v>
          </cell>
          <cell r="E8">
            <v>6344</v>
          </cell>
          <cell r="F8" t="str">
            <v>ЭЦН</v>
          </cell>
          <cell r="G8">
            <v>37092</v>
          </cell>
          <cell r="H8" t="str">
            <v>R-0</v>
          </cell>
          <cell r="I8">
            <v>6</v>
          </cell>
          <cell r="J8">
            <v>43</v>
          </cell>
          <cell r="K8">
            <v>28</v>
          </cell>
          <cell r="L8" t="str">
            <v>50-1550</v>
          </cell>
          <cell r="M8">
            <v>1860</v>
          </cell>
          <cell r="N8" t="str">
            <v>ПРС</v>
          </cell>
          <cell r="O8">
            <v>66.743279999999999</v>
          </cell>
        </row>
        <row r="9">
          <cell r="A9">
            <v>73</v>
          </cell>
          <cell r="B9" t="str">
            <v>Прз</v>
          </cell>
          <cell r="C9">
            <v>3</v>
          </cell>
          <cell r="D9">
            <v>90</v>
          </cell>
          <cell r="E9">
            <v>5770</v>
          </cell>
          <cell r="F9" t="str">
            <v>ЭЦН</v>
          </cell>
          <cell r="G9">
            <v>37093</v>
          </cell>
          <cell r="H9" t="str">
            <v>R-0</v>
          </cell>
          <cell r="I9">
            <v>20</v>
          </cell>
          <cell r="J9">
            <v>28</v>
          </cell>
          <cell r="K9">
            <v>23.036159999999999</v>
          </cell>
          <cell r="L9" t="str">
            <v>60-2000</v>
          </cell>
          <cell r="M9">
            <v>2360</v>
          </cell>
          <cell r="N9" t="str">
            <v>ОПРС</v>
          </cell>
        </row>
        <row r="10">
          <cell r="A10">
            <v>111</v>
          </cell>
          <cell r="B10" t="str">
            <v>Лем</v>
          </cell>
          <cell r="C10">
            <v>4</v>
          </cell>
          <cell r="D10">
            <v>30</v>
          </cell>
          <cell r="E10">
            <v>186</v>
          </cell>
          <cell r="F10" t="str">
            <v>ЭЦН</v>
          </cell>
          <cell r="G10">
            <v>37093</v>
          </cell>
          <cell r="H10" t="str">
            <v>Н/П</v>
          </cell>
          <cell r="I10">
            <v>82</v>
          </cell>
          <cell r="J10">
            <v>36</v>
          </cell>
          <cell r="K10">
            <v>26</v>
          </cell>
          <cell r="L10" t="str">
            <v>DN-440</v>
          </cell>
          <cell r="M10">
            <v>2100</v>
          </cell>
          <cell r="N10" t="str">
            <v>ПРС</v>
          </cell>
        </row>
        <row r="11">
          <cell r="A11">
            <v>190</v>
          </cell>
          <cell r="B11" t="str">
            <v>Прб</v>
          </cell>
          <cell r="C11">
            <v>6</v>
          </cell>
          <cell r="D11">
            <v>103</v>
          </cell>
          <cell r="E11">
            <v>228</v>
          </cell>
          <cell r="F11" t="str">
            <v>ЭЦН</v>
          </cell>
          <cell r="G11">
            <v>37093</v>
          </cell>
          <cell r="H11" t="str">
            <v>R-0</v>
          </cell>
          <cell r="I11">
            <v>12</v>
          </cell>
          <cell r="J11">
            <v>30</v>
          </cell>
          <cell r="K11">
            <v>25</v>
          </cell>
          <cell r="L11" t="str">
            <v>60-1500</v>
          </cell>
          <cell r="M11">
            <v>2160</v>
          </cell>
          <cell r="N11" t="str">
            <v>ПРС</v>
          </cell>
        </row>
        <row r="12">
          <cell r="A12">
            <v>191</v>
          </cell>
          <cell r="B12" t="str">
            <v>Прб</v>
          </cell>
          <cell r="C12">
            <v>6</v>
          </cell>
          <cell r="D12">
            <v>110</v>
          </cell>
          <cell r="E12">
            <v>2214</v>
          </cell>
          <cell r="F12" t="str">
            <v>ЭЦН</v>
          </cell>
          <cell r="G12">
            <v>37093</v>
          </cell>
          <cell r="H12" t="str">
            <v>R-0</v>
          </cell>
          <cell r="I12">
            <v>182</v>
          </cell>
          <cell r="J12">
            <v>36</v>
          </cell>
          <cell r="K12">
            <v>24</v>
          </cell>
          <cell r="L12" t="str">
            <v>50-2000</v>
          </cell>
          <cell r="M12">
            <v>2460</v>
          </cell>
          <cell r="N12" t="str">
            <v>ПРС</v>
          </cell>
        </row>
        <row r="13">
          <cell r="A13">
            <v>192</v>
          </cell>
          <cell r="B13" t="str">
            <v>Прб</v>
          </cell>
          <cell r="C13">
            <v>6</v>
          </cell>
          <cell r="D13">
            <v>99</v>
          </cell>
          <cell r="E13">
            <v>1081</v>
          </cell>
          <cell r="F13" t="str">
            <v>ШГН</v>
          </cell>
          <cell r="G13">
            <v>37093</v>
          </cell>
          <cell r="H13" t="str">
            <v>ГТМ</v>
          </cell>
          <cell r="J13">
            <v>6</v>
          </cell>
          <cell r="K13">
            <v>5</v>
          </cell>
          <cell r="L13" t="str">
            <v>нн-44</v>
          </cell>
          <cell r="M13">
            <v>1310</v>
          </cell>
          <cell r="N13" t="str">
            <v>ПРС</v>
          </cell>
          <cell r="O13">
            <v>103.03616</v>
          </cell>
        </row>
        <row r="14">
          <cell r="A14">
            <v>17</v>
          </cell>
          <cell r="B14" t="str">
            <v>Пр</v>
          </cell>
          <cell r="C14">
            <v>1</v>
          </cell>
          <cell r="D14">
            <v>7</v>
          </cell>
          <cell r="E14">
            <v>1278</v>
          </cell>
          <cell r="F14" t="str">
            <v>ЭЦН</v>
          </cell>
          <cell r="G14">
            <v>37094</v>
          </cell>
          <cell r="H14" t="str">
            <v>ГТМ</v>
          </cell>
          <cell r="I14">
            <v>540</v>
          </cell>
          <cell r="J14">
            <v>100</v>
          </cell>
          <cell r="K14">
            <v>43</v>
          </cell>
          <cell r="L14" t="str">
            <v>125-1200</v>
          </cell>
          <cell r="M14">
            <v>1470</v>
          </cell>
          <cell r="N14" t="str">
            <v>ПРС</v>
          </cell>
        </row>
        <row r="15">
          <cell r="A15">
            <v>18</v>
          </cell>
          <cell r="B15" t="str">
            <v>Пр</v>
          </cell>
          <cell r="C15">
            <v>1</v>
          </cell>
          <cell r="D15">
            <v>105</v>
          </cell>
          <cell r="E15">
            <v>2433</v>
          </cell>
          <cell r="F15" t="str">
            <v>ЭЦН</v>
          </cell>
          <cell r="G15">
            <v>37094</v>
          </cell>
          <cell r="H15" t="str">
            <v>ГТМ</v>
          </cell>
          <cell r="I15">
            <v>922</v>
          </cell>
          <cell r="J15">
            <v>50</v>
          </cell>
          <cell r="K15">
            <v>6</v>
          </cell>
          <cell r="L15" t="str">
            <v>DN-800</v>
          </cell>
          <cell r="M15">
            <v>2000</v>
          </cell>
          <cell r="N15" t="str">
            <v>дострел , КРС</v>
          </cell>
        </row>
        <row r="16">
          <cell r="A16">
            <v>74</v>
          </cell>
          <cell r="B16" t="str">
            <v>Прз</v>
          </cell>
          <cell r="C16">
            <v>3</v>
          </cell>
          <cell r="D16">
            <v>20</v>
          </cell>
          <cell r="E16">
            <v>5522</v>
          </cell>
          <cell r="F16" t="str">
            <v>ШГН</v>
          </cell>
          <cell r="G16">
            <v>37094</v>
          </cell>
          <cell r="H16" t="str">
            <v>Н/П</v>
          </cell>
          <cell r="I16">
            <v>941</v>
          </cell>
          <cell r="J16">
            <v>4</v>
          </cell>
          <cell r="K16">
            <v>3.0851999999999999</v>
          </cell>
          <cell r="L16" t="str">
            <v>НСН-44</v>
          </cell>
          <cell r="M16">
            <v>1362</v>
          </cell>
          <cell r="N16" t="str">
            <v>ОПРС</v>
          </cell>
        </row>
        <row r="17">
          <cell r="A17">
            <v>193</v>
          </cell>
          <cell r="B17" t="str">
            <v>Прб</v>
          </cell>
          <cell r="C17">
            <v>6</v>
          </cell>
          <cell r="D17">
            <v>110</v>
          </cell>
          <cell r="E17">
            <v>3034</v>
          </cell>
          <cell r="F17" t="str">
            <v>Ф/ШГН</v>
          </cell>
          <cell r="G17">
            <v>37094</v>
          </cell>
          <cell r="H17" t="str">
            <v>ГТМ</v>
          </cell>
          <cell r="J17">
            <v>1</v>
          </cell>
          <cell r="K17">
            <v>0.8</v>
          </cell>
          <cell r="L17" t="str">
            <v>нн-44</v>
          </cell>
          <cell r="M17">
            <v>1400</v>
          </cell>
          <cell r="N17" t="str">
            <v>ПРС,не фонтанирует</v>
          </cell>
        </row>
        <row r="18">
          <cell r="A18">
            <v>194</v>
          </cell>
          <cell r="B18" t="str">
            <v>Прб</v>
          </cell>
          <cell r="C18">
            <v>6</v>
          </cell>
          <cell r="D18">
            <v>100</v>
          </cell>
          <cell r="E18">
            <v>500</v>
          </cell>
          <cell r="F18" t="str">
            <v>ЭЦН</v>
          </cell>
          <cell r="G18">
            <v>37094</v>
          </cell>
          <cell r="H18" t="str">
            <v>R-0</v>
          </cell>
          <cell r="I18">
            <v>112</v>
          </cell>
          <cell r="J18">
            <v>40</v>
          </cell>
          <cell r="K18">
            <v>31</v>
          </cell>
          <cell r="L18" t="str">
            <v>50-1700</v>
          </cell>
          <cell r="M18">
            <v>2220</v>
          </cell>
          <cell r="N18" t="str">
            <v>ПРС</v>
          </cell>
        </row>
        <row r="19">
          <cell r="A19">
            <v>195</v>
          </cell>
          <cell r="B19" t="str">
            <v>Прб</v>
          </cell>
          <cell r="C19">
            <v>6</v>
          </cell>
          <cell r="D19">
            <v>113</v>
          </cell>
          <cell r="E19">
            <v>1204</v>
          </cell>
          <cell r="F19" t="str">
            <v>ЭЦН</v>
          </cell>
          <cell r="G19">
            <v>37094</v>
          </cell>
          <cell r="H19" t="str">
            <v>R-0</v>
          </cell>
          <cell r="I19">
            <v>45</v>
          </cell>
          <cell r="J19">
            <v>55</v>
          </cell>
          <cell r="K19">
            <v>44</v>
          </cell>
          <cell r="L19" t="str">
            <v>50-2000</v>
          </cell>
          <cell r="M19">
            <v>2480</v>
          </cell>
          <cell r="N19" t="str">
            <v>ПРС</v>
          </cell>
        </row>
        <row r="20">
          <cell r="A20">
            <v>196</v>
          </cell>
          <cell r="B20" t="str">
            <v>Прб</v>
          </cell>
          <cell r="C20">
            <v>6</v>
          </cell>
          <cell r="D20">
            <v>116</v>
          </cell>
          <cell r="E20">
            <v>3099</v>
          </cell>
          <cell r="F20" t="str">
            <v>ЭЦН</v>
          </cell>
          <cell r="G20">
            <v>37094</v>
          </cell>
          <cell r="H20" t="str">
            <v>R-0</v>
          </cell>
          <cell r="I20">
            <v>30</v>
          </cell>
          <cell r="J20">
            <v>85</v>
          </cell>
          <cell r="K20">
            <v>51</v>
          </cell>
          <cell r="L20" t="str">
            <v>80-2000</v>
          </cell>
          <cell r="M20">
            <v>2360</v>
          </cell>
          <cell r="N20" t="str">
            <v>ПРС</v>
          </cell>
          <cell r="O20">
            <v>178.8852</v>
          </cell>
        </row>
        <row r="21">
          <cell r="A21">
            <v>75</v>
          </cell>
          <cell r="B21" t="str">
            <v>Прз</v>
          </cell>
          <cell r="C21">
            <v>3</v>
          </cell>
          <cell r="D21">
            <v>223</v>
          </cell>
          <cell r="E21">
            <v>3585</v>
          </cell>
          <cell r="F21" t="str">
            <v>ЭЦН</v>
          </cell>
          <cell r="G21">
            <v>37095</v>
          </cell>
          <cell r="H21" t="str">
            <v>R-0</v>
          </cell>
          <cell r="I21">
            <v>113</v>
          </cell>
          <cell r="J21">
            <v>33</v>
          </cell>
          <cell r="K21">
            <v>27.432570000000002</v>
          </cell>
          <cell r="L21" t="str">
            <v>50-1550</v>
          </cell>
          <cell r="M21">
            <v>2130</v>
          </cell>
          <cell r="N21" t="str">
            <v>ОПРС</v>
          </cell>
        </row>
        <row r="22">
          <cell r="A22">
            <v>76</v>
          </cell>
          <cell r="B22" t="str">
            <v>Прз</v>
          </cell>
          <cell r="C22">
            <v>3</v>
          </cell>
          <cell r="D22">
            <v>204</v>
          </cell>
          <cell r="E22">
            <v>6640</v>
          </cell>
          <cell r="F22" t="str">
            <v>ЭЦН</v>
          </cell>
          <cell r="G22">
            <v>37095</v>
          </cell>
          <cell r="H22" t="str">
            <v>ГТМ</v>
          </cell>
          <cell r="I22">
            <v>690</v>
          </cell>
          <cell r="J22">
            <v>31</v>
          </cell>
          <cell r="K22">
            <v>25.504319999999996</v>
          </cell>
          <cell r="L22" t="str">
            <v>DN-440</v>
          </cell>
          <cell r="M22">
            <v>1812</v>
          </cell>
          <cell r="N22" t="str">
            <v>ОПРС</v>
          </cell>
        </row>
        <row r="23">
          <cell r="A23">
            <v>77</v>
          </cell>
          <cell r="B23" t="str">
            <v>Прз</v>
          </cell>
          <cell r="C23">
            <v>3</v>
          </cell>
          <cell r="D23">
            <v>74</v>
          </cell>
          <cell r="E23">
            <v>892</v>
          </cell>
          <cell r="F23" t="str">
            <v>ЭЦН</v>
          </cell>
          <cell r="G23">
            <v>37095</v>
          </cell>
          <cell r="H23" t="str">
            <v>R-0</v>
          </cell>
          <cell r="I23">
            <v>34</v>
          </cell>
          <cell r="J23">
            <v>15</v>
          </cell>
          <cell r="K23">
            <v>11.955150000000001</v>
          </cell>
          <cell r="L23" t="str">
            <v>50-1300</v>
          </cell>
          <cell r="M23">
            <v>1800</v>
          </cell>
          <cell r="N23" t="str">
            <v>ОПРС</v>
          </cell>
        </row>
        <row r="24">
          <cell r="A24">
            <v>112</v>
          </cell>
          <cell r="B24" t="str">
            <v>Лем</v>
          </cell>
          <cell r="C24">
            <v>4</v>
          </cell>
          <cell r="D24">
            <v>32</v>
          </cell>
          <cell r="E24">
            <v>557</v>
          </cell>
          <cell r="F24" t="str">
            <v>ЭЦН</v>
          </cell>
          <cell r="G24">
            <v>37095</v>
          </cell>
          <cell r="H24" t="str">
            <v>R-0</v>
          </cell>
          <cell r="I24">
            <v>50</v>
          </cell>
          <cell r="J24">
            <v>42</v>
          </cell>
          <cell r="K24">
            <v>25.9</v>
          </cell>
          <cell r="L24" t="str">
            <v>60-1350</v>
          </cell>
          <cell r="M24">
            <v>2060</v>
          </cell>
          <cell r="N24" t="str">
            <v>ПРС</v>
          </cell>
        </row>
        <row r="25">
          <cell r="A25">
            <v>197</v>
          </cell>
          <cell r="B25" t="str">
            <v>Прб</v>
          </cell>
          <cell r="C25">
            <v>6</v>
          </cell>
          <cell r="D25">
            <v>114</v>
          </cell>
          <cell r="E25">
            <v>3117</v>
          </cell>
          <cell r="F25" t="str">
            <v>ЭЦН</v>
          </cell>
          <cell r="G25">
            <v>37095</v>
          </cell>
          <cell r="H25" t="str">
            <v>R-0</v>
          </cell>
          <cell r="I25">
            <v>82</v>
          </cell>
          <cell r="J25">
            <v>30</v>
          </cell>
          <cell r="K25">
            <v>22</v>
          </cell>
          <cell r="L25" t="str">
            <v>50-1700</v>
          </cell>
          <cell r="M25">
            <v>2147</v>
          </cell>
          <cell r="N25" t="str">
            <v>ПРС</v>
          </cell>
        </row>
        <row r="26">
          <cell r="A26">
            <v>198</v>
          </cell>
          <cell r="B26" t="str">
            <v>Прб</v>
          </cell>
          <cell r="C26">
            <v>6</v>
          </cell>
          <cell r="D26">
            <v>111</v>
          </cell>
          <cell r="E26">
            <v>1279</v>
          </cell>
          <cell r="F26" t="str">
            <v>ЭЦН</v>
          </cell>
          <cell r="G26">
            <v>37095</v>
          </cell>
          <cell r="H26" t="str">
            <v>R-0</v>
          </cell>
          <cell r="I26">
            <v>19</v>
          </cell>
          <cell r="J26">
            <v>47</v>
          </cell>
          <cell r="K26">
            <v>18</v>
          </cell>
          <cell r="L26" t="str">
            <v>60-2000</v>
          </cell>
          <cell r="M26">
            <v>2360</v>
          </cell>
          <cell r="N26" t="str">
            <v>ПРС</v>
          </cell>
          <cell r="O26">
            <v>130.79203999999999</v>
          </cell>
        </row>
        <row r="27">
          <cell r="A27">
            <v>78</v>
          </cell>
          <cell r="B27" t="str">
            <v>Прз</v>
          </cell>
          <cell r="C27">
            <v>3</v>
          </cell>
          <cell r="D27">
            <v>232</v>
          </cell>
          <cell r="E27">
            <v>6747</v>
          </cell>
          <cell r="F27" t="str">
            <v>ЭЦН</v>
          </cell>
          <cell r="G27">
            <v>37096</v>
          </cell>
          <cell r="H27" t="str">
            <v>R-0</v>
          </cell>
          <cell r="I27">
            <v>15</v>
          </cell>
          <cell r="J27">
            <v>17</v>
          </cell>
          <cell r="K27">
            <v>14.277619999999999</v>
          </cell>
          <cell r="L27" t="str">
            <v>60-1350</v>
          </cell>
          <cell r="M27">
            <v>1920</v>
          </cell>
          <cell r="N27" t="str">
            <v>ОПРС</v>
          </cell>
        </row>
        <row r="28">
          <cell r="A28">
            <v>113</v>
          </cell>
          <cell r="B28" t="str">
            <v>Лем</v>
          </cell>
          <cell r="C28">
            <v>4</v>
          </cell>
          <cell r="D28">
            <v>31</v>
          </cell>
          <cell r="E28">
            <v>536</v>
          </cell>
          <cell r="F28" t="str">
            <v>ЭЦН</v>
          </cell>
          <cell r="G28">
            <v>37096</v>
          </cell>
          <cell r="H28" t="str">
            <v>заклин</v>
          </cell>
          <cell r="I28">
            <v>169</v>
          </cell>
          <cell r="J28">
            <v>44</v>
          </cell>
          <cell r="K28">
            <v>31.1</v>
          </cell>
          <cell r="L28" t="str">
            <v>50-1550</v>
          </cell>
          <cell r="M28">
            <v>2200</v>
          </cell>
          <cell r="N28" t="str">
            <v>ПРС</v>
          </cell>
        </row>
        <row r="29">
          <cell r="A29">
            <v>114</v>
          </cell>
          <cell r="B29" t="str">
            <v>Лем</v>
          </cell>
          <cell r="C29">
            <v>4</v>
          </cell>
          <cell r="D29">
            <v>36</v>
          </cell>
          <cell r="E29">
            <v>608</v>
          </cell>
          <cell r="F29" t="str">
            <v>ЭЦН</v>
          </cell>
          <cell r="G29">
            <v>37096</v>
          </cell>
          <cell r="H29" t="str">
            <v>R-0</v>
          </cell>
          <cell r="I29">
            <v>79</v>
          </cell>
          <cell r="J29">
            <v>24</v>
          </cell>
          <cell r="K29">
            <v>14.6</v>
          </cell>
          <cell r="L29" t="str">
            <v>30-1400</v>
          </cell>
          <cell r="M29">
            <v>1790</v>
          </cell>
          <cell r="N29" t="str">
            <v>ПРС</v>
          </cell>
        </row>
        <row r="30">
          <cell r="A30">
            <v>199</v>
          </cell>
          <cell r="B30" t="str">
            <v>Прб</v>
          </cell>
          <cell r="C30">
            <v>6</v>
          </cell>
          <cell r="D30">
            <v>100</v>
          </cell>
          <cell r="E30">
            <v>502</v>
          </cell>
          <cell r="F30" t="str">
            <v>ШГН</v>
          </cell>
          <cell r="G30">
            <v>37096</v>
          </cell>
          <cell r="H30" t="str">
            <v>н/п</v>
          </cell>
          <cell r="I30">
            <v>211</v>
          </cell>
          <cell r="J30">
            <v>10</v>
          </cell>
          <cell r="K30">
            <v>6</v>
          </cell>
          <cell r="L30" t="str">
            <v>нн-44</v>
          </cell>
          <cell r="M30">
            <v>1489</v>
          </cell>
          <cell r="N30" t="str">
            <v>ПРС</v>
          </cell>
        </row>
        <row r="31">
          <cell r="A31">
            <v>200</v>
          </cell>
          <cell r="B31" t="str">
            <v>Прб</v>
          </cell>
          <cell r="C31">
            <v>6</v>
          </cell>
          <cell r="D31">
            <v>111</v>
          </cell>
          <cell r="E31">
            <v>1241</v>
          </cell>
          <cell r="F31" t="str">
            <v>ЭЦН</v>
          </cell>
          <cell r="G31">
            <v>37096</v>
          </cell>
          <cell r="H31" t="str">
            <v>R-0</v>
          </cell>
          <cell r="I31">
            <v>69</v>
          </cell>
          <cell r="J31">
            <v>40</v>
          </cell>
          <cell r="K31">
            <v>33</v>
          </cell>
          <cell r="L31" t="str">
            <v>60-1550</v>
          </cell>
          <cell r="M31">
            <v>2200</v>
          </cell>
          <cell r="N31" t="str">
            <v>ПРС</v>
          </cell>
          <cell r="O31">
            <v>98.977620000000002</v>
          </cell>
        </row>
        <row r="32">
          <cell r="A32">
            <v>19</v>
          </cell>
          <cell r="B32" t="str">
            <v>Пр</v>
          </cell>
          <cell r="C32">
            <v>1</v>
          </cell>
          <cell r="D32">
            <v>165</v>
          </cell>
          <cell r="E32">
            <v>2445</v>
          </cell>
          <cell r="F32" t="str">
            <v>ШГН</v>
          </cell>
          <cell r="G32">
            <v>37097</v>
          </cell>
          <cell r="H32" t="str">
            <v>ГТМ</v>
          </cell>
          <cell r="I32">
            <v>63</v>
          </cell>
          <cell r="J32">
            <v>7</v>
          </cell>
          <cell r="K32">
            <v>2.4</v>
          </cell>
          <cell r="L32" t="str">
            <v>НН-44</v>
          </cell>
          <cell r="M32">
            <v>1400</v>
          </cell>
          <cell r="N32" t="str">
            <v>дострел , КРС</v>
          </cell>
        </row>
        <row r="33">
          <cell r="A33">
            <v>79</v>
          </cell>
          <cell r="B33" t="str">
            <v>Прз</v>
          </cell>
          <cell r="C33">
            <v>3</v>
          </cell>
          <cell r="D33">
            <v>139</v>
          </cell>
          <cell r="E33">
            <v>6498</v>
          </cell>
          <cell r="F33" t="str">
            <v>ШГН</v>
          </cell>
          <cell r="G33">
            <v>37097</v>
          </cell>
          <cell r="H33" t="str">
            <v>Н/П</v>
          </cell>
          <cell r="I33">
            <v>765</v>
          </cell>
          <cell r="J33">
            <v>12</v>
          </cell>
          <cell r="K33">
            <v>10</v>
          </cell>
          <cell r="L33" t="str">
            <v>НСН-57</v>
          </cell>
          <cell r="M33">
            <v>936</v>
          </cell>
          <cell r="N33" t="str">
            <v>ОПРС</v>
          </cell>
        </row>
        <row r="34">
          <cell r="A34">
            <v>115</v>
          </cell>
          <cell r="B34" t="str">
            <v>Лем</v>
          </cell>
          <cell r="C34">
            <v>4</v>
          </cell>
          <cell r="D34">
            <v>38</v>
          </cell>
          <cell r="E34">
            <v>380</v>
          </cell>
          <cell r="F34" t="str">
            <v>REDA</v>
          </cell>
          <cell r="G34">
            <v>37097</v>
          </cell>
          <cell r="H34" t="str">
            <v>ГТМ</v>
          </cell>
          <cell r="I34">
            <v>952</v>
          </cell>
          <cell r="J34">
            <v>27</v>
          </cell>
          <cell r="K34">
            <v>11.9</v>
          </cell>
          <cell r="L34" t="str">
            <v>DN-440</v>
          </cell>
          <cell r="M34">
            <v>1750</v>
          </cell>
          <cell r="N34" t="str">
            <v>КРС</v>
          </cell>
        </row>
        <row r="35">
          <cell r="A35">
            <v>116</v>
          </cell>
          <cell r="B35" t="str">
            <v>Лем</v>
          </cell>
          <cell r="C35">
            <v>4</v>
          </cell>
          <cell r="D35">
            <v>36</v>
          </cell>
          <cell r="E35">
            <v>200</v>
          </cell>
          <cell r="F35" t="str">
            <v>ЭЦН</v>
          </cell>
          <cell r="G35">
            <v>37097</v>
          </cell>
          <cell r="H35" t="str">
            <v>R-0</v>
          </cell>
          <cell r="I35">
            <v>61</v>
          </cell>
          <cell r="J35">
            <v>14</v>
          </cell>
          <cell r="K35">
            <v>10.5</v>
          </cell>
          <cell r="L35" t="str">
            <v>30-1250</v>
          </cell>
          <cell r="M35">
            <v>1780</v>
          </cell>
          <cell r="N35" t="str">
            <v>ПРС</v>
          </cell>
        </row>
        <row r="36">
          <cell r="A36">
            <v>117</v>
          </cell>
          <cell r="B36" t="str">
            <v>Лем</v>
          </cell>
          <cell r="C36">
            <v>4</v>
          </cell>
          <cell r="D36">
            <v>37</v>
          </cell>
          <cell r="E36">
            <v>418</v>
          </cell>
          <cell r="F36" t="str">
            <v>ШГН</v>
          </cell>
          <cell r="G36">
            <v>37097</v>
          </cell>
          <cell r="H36" t="str">
            <v>РНО</v>
          </cell>
          <cell r="J36">
            <v>2</v>
          </cell>
          <cell r="K36">
            <v>1.3</v>
          </cell>
          <cell r="L36" t="str">
            <v>НН-44</v>
          </cell>
          <cell r="M36">
            <v>1360</v>
          </cell>
          <cell r="N36" t="str">
            <v>ПНО</v>
          </cell>
        </row>
        <row r="37">
          <cell r="A37">
            <v>148</v>
          </cell>
          <cell r="B37" t="str">
            <v>Прз</v>
          </cell>
          <cell r="C37">
            <v>5</v>
          </cell>
          <cell r="D37">
            <v>67</v>
          </cell>
          <cell r="E37">
            <v>3261</v>
          </cell>
          <cell r="F37" t="str">
            <v>ЭЦН</v>
          </cell>
          <cell r="G37">
            <v>37097</v>
          </cell>
          <cell r="H37" t="str">
            <v>ГТМ</v>
          </cell>
          <cell r="I37">
            <v>659</v>
          </cell>
          <cell r="J37">
            <v>35</v>
          </cell>
          <cell r="K37">
            <v>29</v>
          </cell>
          <cell r="L37" t="str">
            <v>DN-610</v>
          </cell>
          <cell r="M37">
            <v>2165</v>
          </cell>
          <cell r="N37" t="str">
            <v>ПРС</v>
          </cell>
        </row>
        <row r="38">
          <cell r="A38">
            <v>201</v>
          </cell>
          <cell r="B38" t="str">
            <v>Прб</v>
          </cell>
          <cell r="C38">
            <v>6</v>
          </cell>
          <cell r="D38">
            <v>106</v>
          </cell>
          <cell r="E38">
            <v>2053</v>
          </cell>
          <cell r="F38" t="str">
            <v>ШГН</v>
          </cell>
          <cell r="G38">
            <v>37097</v>
          </cell>
          <cell r="H38" t="str">
            <v>клин</v>
          </cell>
          <cell r="I38">
            <v>273</v>
          </cell>
          <cell r="J38">
            <v>4</v>
          </cell>
          <cell r="K38">
            <v>3</v>
          </cell>
          <cell r="L38" t="str">
            <v>нн-44</v>
          </cell>
          <cell r="M38">
            <v>1406</v>
          </cell>
          <cell r="N38" t="str">
            <v>ПРС</v>
          </cell>
          <cell r="O38">
            <v>68.099999999999994</v>
          </cell>
        </row>
        <row r="39">
          <cell r="A39">
            <v>20</v>
          </cell>
          <cell r="B39" t="str">
            <v>ВП</v>
          </cell>
          <cell r="C39">
            <v>1</v>
          </cell>
          <cell r="D39">
            <v>2</v>
          </cell>
          <cell r="E39">
            <v>214</v>
          </cell>
          <cell r="F39" t="str">
            <v>ЭЦН</v>
          </cell>
          <cell r="G39">
            <v>37098</v>
          </cell>
          <cell r="H39" t="str">
            <v>ГТМ</v>
          </cell>
          <cell r="I39">
            <v>2406</v>
          </cell>
          <cell r="J39">
            <v>57</v>
          </cell>
          <cell r="K39">
            <v>12.1</v>
          </cell>
          <cell r="L39" t="str">
            <v>50-1300</v>
          </cell>
          <cell r="M39">
            <v>1548</v>
          </cell>
          <cell r="N39" t="str">
            <v>ПРС</v>
          </cell>
        </row>
        <row r="40">
          <cell r="A40">
            <v>21</v>
          </cell>
          <cell r="B40" t="str">
            <v>Пр</v>
          </cell>
          <cell r="C40">
            <v>1</v>
          </cell>
          <cell r="D40">
            <v>189</v>
          </cell>
          <cell r="E40">
            <v>3300</v>
          </cell>
          <cell r="F40" t="str">
            <v>ЭЦН</v>
          </cell>
          <cell r="G40">
            <v>37098</v>
          </cell>
          <cell r="H40" t="str">
            <v>н/г</v>
          </cell>
          <cell r="I40">
            <v>289</v>
          </cell>
          <cell r="J40">
            <v>24</v>
          </cell>
          <cell r="K40">
            <v>2.1</v>
          </cell>
          <cell r="L40" t="str">
            <v>50-1300</v>
          </cell>
          <cell r="M40">
            <v>1900</v>
          </cell>
          <cell r="N40" t="str">
            <v>ПРС</v>
          </cell>
        </row>
        <row r="41">
          <cell r="A41">
            <v>81</v>
          </cell>
          <cell r="B41" t="str">
            <v>Прз</v>
          </cell>
          <cell r="C41">
            <v>3</v>
          </cell>
          <cell r="D41">
            <v>223</v>
          </cell>
          <cell r="E41">
            <v>6832</v>
          </cell>
          <cell r="F41" t="str">
            <v>ЭЦН</v>
          </cell>
          <cell r="G41">
            <v>37098</v>
          </cell>
          <cell r="H41" t="str">
            <v>Н/П</v>
          </cell>
          <cell r="I41">
            <v>165</v>
          </cell>
          <cell r="J41">
            <v>10</v>
          </cell>
          <cell r="K41">
            <v>8</v>
          </cell>
          <cell r="L41" t="str">
            <v>DN-440</v>
          </cell>
          <cell r="M41">
            <v>2300</v>
          </cell>
          <cell r="N41" t="str">
            <v>ОСКО</v>
          </cell>
        </row>
        <row r="42">
          <cell r="A42">
            <v>203</v>
          </cell>
          <cell r="B42" t="str">
            <v>Прб</v>
          </cell>
          <cell r="C42">
            <v>6</v>
          </cell>
          <cell r="D42">
            <v>101</v>
          </cell>
          <cell r="E42">
            <v>206</v>
          </cell>
          <cell r="F42" t="str">
            <v>ЭЦН</v>
          </cell>
          <cell r="G42">
            <v>37098</v>
          </cell>
          <cell r="H42" t="str">
            <v>ГТМ</v>
          </cell>
          <cell r="I42">
            <v>124</v>
          </cell>
          <cell r="J42">
            <v>20</v>
          </cell>
          <cell r="K42">
            <v>10</v>
          </cell>
          <cell r="L42" t="str">
            <v>20-1400</v>
          </cell>
          <cell r="M42">
            <v>1840</v>
          </cell>
          <cell r="N42" t="str">
            <v>ПРС, ТОП</v>
          </cell>
        </row>
        <row r="43">
          <cell r="A43">
            <v>205</v>
          </cell>
          <cell r="B43" t="str">
            <v>Прб</v>
          </cell>
          <cell r="C43">
            <v>6</v>
          </cell>
          <cell r="D43">
            <v>120</v>
          </cell>
          <cell r="E43">
            <v>2163</v>
          </cell>
          <cell r="F43" t="str">
            <v>ШГН</v>
          </cell>
          <cell r="G43">
            <v>37098</v>
          </cell>
          <cell r="H43" t="str">
            <v>н/п</v>
          </cell>
          <cell r="I43">
            <v>840</v>
          </cell>
          <cell r="J43">
            <v>1</v>
          </cell>
          <cell r="K43">
            <v>0.4</v>
          </cell>
          <cell r="L43" t="str">
            <v>нн-44</v>
          </cell>
          <cell r="M43">
            <v>1376</v>
          </cell>
          <cell r="N43" t="str">
            <v>ПРС</v>
          </cell>
          <cell r="O43">
            <v>32.6</v>
          </cell>
        </row>
        <row r="44">
          <cell r="A44">
            <v>23</v>
          </cell>
          <cell r="B44" t="str">
            <v>С-С</v>
          </cell>
          <cell r="C44">
            <v>2</v>
          </cell>
          <cell r="D44" t="str">
            <v>19а</v>
          </cell>
          <cell r="E44">
            <v>650</v>
          </cell>
          <cell r="F44" t="str">
            <v>ЭЦН</v>
          </cell>
          <cell r="G44">
            <v>37099</v>
          </cell>
          <cell r="H44" t="str">
            <v>R-0</v>
          </cell>
          <cell r="I44">
            <v>125</v>
          </cell>
          <cell r="J44">
            <v>66</v>
          </cell>
          <cell r="K44">
            <v>1</v>
          </cell>
          <cell r="L44" t="str">
            <v>80-2000</v>
          </cell>
          <cell r="M44">
            <v>2460</v>
          </cell>
          <cell r="N44" t="str">
            <v>ПРС</v>
          </cell>
        </row>
        <row r="45">
          <cell r="A45">
            <v>83</v>
          </cell>
          <cell r="B45" t="str">
            <v>Прз</v>
          </cell>
          <cell r="C45">
            <v>3</v>
          </cell>
          <cell r="D45">
            <v>82</v>
          </cell>
          <cell r="E45">
            <v>260</v>
          </cell>
          <cell r="F45" t="str">
            <v>ЭЦН</v>
          </cell>
          <cell r="G45">
            <v>37099</v>
          </cell>
          <cell r="H45" t="str">
            <v>ГТМ</v>
          </cell>
          <cell r="I45">
            <v>850</v>
          </cell>
          <cell r="J45">
            <v>41</v>
          </cell>
          <cell r="K45">
            <v>32</v>
          </cell>
          <cell r="L45" t="str">
            <v>DN-440</v>
          </cell>
          <cell r="M45">
            <v>1880</v>
          </cell>
          <cell r="N45" t="str">
            <v>ОПРС</v>
          </cell>
        </row>
        <row r="46">
          <cell r="A46">
            <v>149</v>
          </cell>
          <cell r="B46" t="str">
            <v>Прз</v>
          </cell>
          <cell r="C46">
            <v>5</v>
          </cell>
          <cell r="D46">
            <v>80</v>
          </cell>
          <cell r="E46">
            <v>963</v>
          </cell>
          <cell r="F46" t="str">
            <v>ШГН</v>
          </cell>
          <cell r="G46">
            <v>37099</v>
          </cell>
          <cell r="H46" t="str">
            <v>Обр.штанг</v>
          </cell>
          <cell r="I46">
            <v>358</v>
          </cell>
          <cell r="J46">
            <v>6</v>
          </cell>
          <cell r="K46">
            <v>5</v>
          </cell>
          <cell r="L46" t="str">
            <v>НН-44</v>
          </cell>
          <cell r="M46">
            <v>1320</v>
          </cell>
          <cell r="N46" t="str">
            <v>ПРС</v>
          </cell>
          <cell r="O46">
            <v>38</v>
          </cell>
        </row>
        <row r="47">
          <cell r="A47">
            <v>85</v>
          </cell>
          <cell r="B47" t="str">
            <v>Прз</v>
          </cell>
          <cell r="C47">
            <v>3</v>
          </cell>
          <cell r="D47">
            <v>204</v>
          </cell>
          <cell r="E47">
            <v>3559</v>
          </cell>
          <cell r="F47" t="str">
            <v>ЭЦН</v>
          </cell>
          <cell r="G47">
            <v>37100</v>
          </cell>
          <cell r="H47" t="str">
            <v>ГТМ</v>
          </cell>
          <cell r="I47">
            <v>747</v>
          </cell>
          <cell r="J47">
            <v>41</v>
          </cell>
          <cell r="K47">
            <v>34</v>
          </cell>
          <cell r="L47" t="str">
            <v>DN-610</v>
          </cell>
          <cell r="M47">
            <v>2291</v>
          </cell>
          <cell r="N47" t="str">
            <v>ОПРС</v>
          </cell>
        </row>
        <row r="48">
          <cell r="A48">
            <v>150</v>
          </cell>
          <cell r="B48" t="str">
            <v>Прз</v>
          </cell>
          <cell r="C48">
            <v>5</v>
          </cell>
          <cell r="D48">
            <v>52</v>
          </cell>
          <cell r="E48">
            <v>642</v>
          </cell>
          <cell r="F48" t="str">
            <v>ЭЦН</v>
          </cell>
          <cell r="G48">
            <v>37100</v>
          </cell>
          <cell r="H48" t="str">
            <v>R-0</v>
          </cell>
          <cell r="I48">
            <v>411</v>
          </cell>
          <cell r="J48">
            <v>52</v>
          </cell>
          <cell r="K48">
            <v>43</v>
          </cell>
          <cell r="L48" t="str">
            <v>80-1400</v>
          </cell>
          <cell r="M48">
            <v>2018</v>
          </cell>
          <cell r="N48" t="str">
            <v>ПРС</v>
          </cell>
        </row>
        <row r="49">
          <cell r="A49">
            <v>206</v>
          </cell>
          <cell r="B49" t="str">
            <v>Прб</v>
          </cell>
          <cell r="C49">
            <v>6</v>
          </cell>
          <cell r="D49">
            <v>99</v>
          </cell>
          <cell r="E49">
            <v>2043</v>
          </cell>
          <cell r="F49" t="str">
            <v>ШГН</v>
          </cell>
          <cell r="G49">
            <v>37100</v>
          </cell>
          <cell r="H49" t="str">
            <v>клин</v>
          </cell>
          <cell r="I49">
            <v>657</v>
          </cell>
          <cell r="J49">
            <v>2</v>
          </cell>
          <cell r="K49">
            <v>1.7</v>
          </cell>
          <cell r="L49" t="str">
            <v>нн-44</v>
          </cell>
          <cell r="M49">
            <v>1200</v>
          </cell>
          <cell r="N49" t="str">
            <v>ПРС</v>
          </cell>
          <cell r="O49">
            <v>78.7</v>
          </cell>
        </row>
        <row r="50">
          <cell r="A50">
            <v>207</v>
          </cell>
          <cell r="B50" t="str">
            <v>Прб</v>
          </cell>
          <cell r="C50">
            <v>6</v>
          </cell>
          <cell r="D50">
            <v>119</v>
          </cell>
          <cell r="E50">
            <v>1165</v>
          </cell>
          <cell r="F50" t="str">
            <v>ЭЦН</v>
          </cell>
          <cell r="G50">
            <v>37101</v>
          </cell>
          <cell r="H50" t="str">
            <v>R-0</v>
          </cell>
          <cell r="I50">
            <v>34</v>
          </cell>
          <cell r="J50">
            <v>30</v>
          </cell>
          <cell r="K50">
            <v>18</v>
          </cell>
          <cell r="L50" t="str">
            <v>60-1700</v>
          </cell>
          <cell r="M50">
            <v>2340</v>
          </cell>
          <cell r="N50" t="str">
            <v>ПРС</v>
          </cell>
          <cell r="O50">
            <v>18</v>
          </cell>
        </row>
        <row r="51">
          <cell r="A51">
            <v>24</v>
          </cell>
          <cell r="B51" t="str">
            <v>С-С</v>
          </cell>
          <cell r="C51">
            <v>2</v>
          </cell>
          <cell r="D51">
            <v>33</v>
          </cell>
          <cell r="E51">
            <v>1373</v>
          </cell>
          <cell r="F51" t="str">
            <v>ЭЦН</v>
          </cell>
          <cell r="G51">
            <v>37102</v>
          </cell>
          <cell r="H51" t="str">
            <v>R-0</v>
          </cell>
          <cell r="I51">
            <v>342</v>
          </cell>
          <cell r="J51">
            <v>26</v>
          </cell>
          <cell r="K51">
            <v>2</v>
          </cell>
          <cell r="L51" t="str">
            <v>50-1300</v>
          </cell>
          <cell r="M51">
            <v>1720</v>
          </cell>
          <cell r="N51" t="str">
            <v>ПРС</v>
          </cell>
        </row>
        <row r="52">
          <cell r="A52">
            <v>87</v>
          </cell>
          <cell r="B52" t="str">
            <v>Прз</v>
          </cell>
          <cell r="C52">
            <v>3</v>
          </cell>
          <cell r="D52">
            <v>223</v>
          </cell>
          <cell r="E52">
            <v>6740</v>
          </cell>
          <cell r="F52" t="str">
            <v>ЭЦН</v>
          </cell>
          <cell r="G52">
            <v>37102</v>
          </cell>
          <cell r="H52" t="str">
            <v>R-0</v>
          </cell>
          <cell r="I52">
            <v>38</v>
          </cell>
          <cell r="J52">
            <v>17</v>
          </cell>
          <cell r="K52">
            <v>14</v>
          </cell>
          <cell r="L52" t="str">
            <v>50-1550</v>
          </cell>
          <cell r="M52">
            <v>1860</v>
          </cell>
          <cell r="N52" t="str">
            <v>ОПРС</v>
          </cell>
        </row>
        <row r="53">
          <cell r="A53">
            <v>209</v>
          </cell>
          <cell r="B53" t="str">
            <v>Прб</v>
          </cell>
          <cell r="C53">
            <v>6</v>
          </cell>
          <cell r="D53">
            <v>119</v>
          </cell>
          <cell r="E53">
            <v>3015</v>
          </cell>
          <cell r="F53" t="str">
            <v>ЭЦН</v>
          </cell>
          <cell r="G53">
            <v>37102</v>
          </cell>
          <cell r="H53" t="str">
            <v>R-0</v>
          </cell>
          <cell r="I53">
            <v>77</v>
          </cell>
          <cell r="J53">
            <v>32</v>
          </cell>
          <cell r="K53">
            <v>19</v>
          </cell>
          <cell r="L53" t="str">
            <v>50-2000</v>
          </cell>
          <cell r="M53">
            <v>2400</v>
          </cell>
          <cell r="N53" t="str">
            <v>ПРС</v>
          </cell>
        </row>
        <row r="54">
          <cell r="A54">
            <v>210</v>
          </cell>
          <cell r="B54" t="str">
            <v>Прб</v>
          </cell>
          <cell r="C54">
            <v>6</v>
          </cell>
          <cell r="D54">
            <v>106</v>
          </cell>
          <cell r="E54">
            <v>1084</v>
          </cell>
          <cell r="F54" t="str">
            <v>ШГН</v>
          </cell>
          <cell r="G54">
            <v>37102</v>
          </cell>
          <cell r="H54" t="str">
            <v>обр.шт.</v>
          </cell>
          <cell r="I54">
            <v>1624</v>
          </cell>
          <cell r="J54">
            <v>5</v>
          </cell>
          <cell r="K54">
            <v>4</v>
          </cell>
          <cell r="L54" t="str">
            <v>нн-44</v>
          </cell>
          <cell r="M54">
            <v>1397</v>
          </cell>
          <cell r="N54" t="str">
            <v>ПРС</v>
          </cell>
        </row>
        <row r="55">
          <cell r="A55">
            <v>211</v>
          </cell>
          <cell r="B55" t="str">
            <v>Прб</v>
          </cell>
          <cell r="C55">
            <v>6</v>
          </cell>
          <cell r="D55">
            <v>110</v>
          </cell>
          <cell r="E55">
            <v>2212</v>
          </cell>
          <cell r="F55" t="str">
            <v>ЭЦН</v>
          </cell>
          <cell r="G55">
            <v>37102</v>
          </cell>
          <cell r="H55" t="str">
            <v>R-0</v>
          </cell>
          <cell r="I55">
            <v>33</v>
          </cell>
          <cell r="J55">
            <v>45</v>
          </cell>
          <cell r="K55">
            <v>36</v>
          </cell>
          <cell r="L55" t="str">
            <v>60-2000</v>
          </cell>
          <cell r="M55">
            <v>2360</v>
          </cell>
          <cell r="N55" t="str">
            <v>ПРС</v>
          </cell>
        </row>
        <row r="56">
          <cell r="A56">
            <v>212</v>
          </cell>
          <cell r="B56" t="str">
            <v>Прб</v>
          </cell>
          <cell r="C56">
            <v>6</v>
          </cell>
          <cell r="D56">
            <v>109</v>
          </cell>
          <cell r="E56">
            <v>3012</v>
          </cell>
          <cell r="F56" t="str">
            <v>ЭЦН</v>
          </cell>
          <cell r="G56">
            <v>37102</v>
          </cell>
          <cell r="H56" t="str">
            <v>R-0</v>
          </cell>
          <cell r="I56">
            <v>81</v>
          </cell>
          <cell r="J56">
            <v>95</v>
          </cell>
          <cell r="K56">
            <v>78</v>
          </cell>
          <cell r="L56" t="str">
            <v>125-2000</v>
          </cell>
          <cell r="M56">
            <v>2220</v>
          </cell>
          <cell r="N56" t="str">
            <v>ПРС</v>
          </cell>
          <cell r="O56">
            <v>153</v>
          </cell>
        </row>
        <row r="57">
          <cell r="A57">
            <v>88</v>
          </cell>
          <cell r="B57" t="str">
            <v>Прз</v>
          </cell>
          <cell r="C57">
            <v>3</v>
          </cell>
          <cell r="D57">
            <v>138</v>
          </cell>
          <cell r="E57">
            <v>6545</v>
          </cell>
          <cell r="F57" t="str">
            <v>ЭЦН</v>
          </cell>
          <cell r="G57">
            <v>37103</v>
          </cell>
          <cell r="H57" t="str">
            <v>Заклин.</v>
          </cell>
          <cell r="I57">
            <v>15</v>
          </cell>
          <cell r="J57">
            <v>43</v>
          </cell>
          <cell r="K57">
            <v>31</v>
          </cell>
          <cell r="L57" t="str">
            <v>DN-440</v>
          </cell>
          <cell r="M57">
            <v>2440</v>
          </cell>
          <cell r="N57" t="str">
            <v>ОПРС</v>
          </cell>
        </row>
        <row r="58">
          <cell r="A58">
            <v>89</v>
          </cell>
          <cell r="B58" t="str">
            <v>Прз</v>
          </cell>
          <cell r="C58">
            <v>3</v>
          </cell>
          <cell r="D58">
            <v>68</v>
          </cell>
          <cell r="E58">
            <v>8205</v>
          </cell>
          <cell r="F58" t="str">
            <v>ЭЦН</v>
          </cell>
          <cell r="G58">
            <v>37103</v>
          </cell>
          <cell r="H58" t="str">
            <v>ГТМ</v>
          </cell>
          <cell r="I58">
            <v>359</v>
          </cell>
          <cell r="J58">
            <v>130</v>
          </cell>
          <cell r="K58">
            <v>71</v>
          </cell>
          <cell r="L58" t="str">
            <v>DN-1000</v>
          </cell>
          <cell r="M58">
            <v>2200</v>
          </cell>
          <cell r="N58" t="str">
            <v>ОПРС</v>
          </cell>
        </row>
        <row r="59">
          <cell r="A59">
            <v>90</v>
          </cell>
          <cell r="B59" t="str">
            <v>Прз</v>
          </cell>
          <cell r="C59">
            <v>3</v>
          </cell>
          <cell r="D59">
            <v>143</v>
          </cell>
          <cell r="E59">
            <v>6643</v>
          </cell>
          <cell r="F59" t="str">
            <v>ЭЦН</v>
          </cell>
          <cell r="G59">
            <v>37103</v>
          </cell>
          <cell r="H59" t="str">
            <v>ГТМ</v>
          </cell>
          <cell r="I59">
            <v>128</v>
          </cell>
          <cell r="J59">
            <v>46</v>
          </cell>
          <cell r="K59">
            <v>34</v>
          </cell>
          <cell r="L59" t="str">
            <v>50-1700</v>
          </cell>
          <cell r="M59">
            <v>2104</v>
          </cell>
          <cell r="N59" t="str">
            <v>ОПРС</v>
          </cell>
        </row>
        <row r="60">
          <cell r="A60">
            <v>122</v>
          </cell>
          <cell r="B60" t="str">
            <v>Лем</v>
          </cell>
          <cell r="C60">
            <v>4</v>
          </cell>
          <cell r="D60">
            <v>24</v>
          </cell>
          <cell r="E60">
            <v>342</v>
          </cell>
          <cell r="F60" t="str">
            <v>ЭЦН</v>
          </cell>
          <cell r="G60">
            <v>37103</v>
          </cell>
          <cell r="H60" t="str">
            <v>R-0</v>
          </cell>
          <cell r="I60">
            <v>15</v>
          </cell>
          <cell r="J60">
            <v>42</v>
          </cell>
          <cell r="K60">
            <v>22.2</v>
          </cell>
          <cell r="L60" t="str">
            <v>50-1550</v>
          </cell>
          <cell r="M60">
            <v>1900</v>
          </cell>
          <cell r="N60" t="str">
            <v>ПРС</v>
          </cell>
        </row>
        <row r="61">
          <cell r="A61">
            <v>151</v>
          </cell>
          <cell r="B61" t="str">
            <v>Прз</v>
          </cell>
          <cell r="C61">
            <v>5</v>
          </cell>
          <cell r="D61">
            <v>100</v>
          </cell>
          <cell r="E61">
            <v>1028</v>
          </cell>
          <cell r="F61" t="str">
            <v>ЭЦН</v>
          </cell>
          <cell r="G61" t="str">
            <v>31.07.01</v>
          </cell>
          <cell r="H61" t="str">
            <v>ГТМ</v>
          </cell>
          <cell r="I61">
            <v>1264</v>
          </cell>
          <cell r="J61">
            <v>45</v>
          </cell>
          <cell r="K61">
            <v>38</v>
          </cell>
          <cell r="L61" t="str">
            <v>DN-440</v>
          </cell>
          <cell r="M61">
            <v>1940</v>
          </cell>
          <cell r="N61" t="str">
            <v>ПРС</v>
          </cell>
        </row>
        <row r="62">
          <cell r="A62">
            <v>152</v>
          </cell>
          <cell r="B62" t="str">
            <v>Прз</v>
          </cell>
          <cell r="C62">
            <v>5</v>
          </cell>
          <cell r="D62">
            <v>67</v>
          </cell>
          <cell r="E62">
            <v>5822</v>
          </cell>
          <cell r="F62" t="str">
            <v>ЭЦН</v>
          </cell>
          <cell r="G62" t="str">
            <v>31.07.01</v>
          </cell>
          <cell r="H62" t="str">
            <v>Н/П</v>
          </cell>
          <cell r="I62">
            <v>241</v>
          </cell>
          <cell r="J62">
            <v>30</v>
          </cell>
          <cell r="K62">
            <v>25</v>
          </cell>
          <cell r="L62" t="str">
            <v>DN-440</v>
          </cell>
          <cell r="M62">
            <v>2200</v>
          </cell>
          <cell r="N62" t="str">
            <v>ПРС</v>
          </cell>
          <cell r="O62">
            <v>221.2</v>
          </cell>
        </row>
      </sheetData>
      <sheetData sheetId="1" refreshError="1">
        <row r="1">
          <cell r="U1" t="str">
            <v>Ceh</v>
          </cell>
          <cell r="V1" t="str">
            <v>Qg</v>
          </cell>
          <cell r="W1" t="str">
            <v>Maker</v>
          </cell>
          <cell r="X1" t="str">
            <v>Ceh</v>
          </cell>
          <cell r="Y1" t="str">
            <v>Qg</v>
          </cell>
          <cell r="Z1" t="str">
            <v>Maker</v>
          </cell>
          <cell r="AA1" t="str">
            <v>Ceh</v>
          </cell>
          <cell r="AB1" t="str">
            <v>Qg</v>
          </cell>
          <cell r="AC1" t="str">
            <v>Maker</v>
          </cell>
          <cell r="AD1" t="str">
            <v>Ceh</v>
          </cell>
          <cell r="AE1" t="str">
            <v>Qg</v>
          </cell>
          <cell r="AF1" t="str">
            <v>Maker</v>
          </cell>
          <cell r="AG1" t="str">
            <v>Ceh</v>
          </cell>
          <cell r="AH1" t="str">
            <v>Qg</v>
          </cell>
          <cell r="AI1" t="str">
            <v>Maker</v>
          </cell>
          <cell r="AJ1" t="str">
            <v>Ceh</v>
          </cell>
          <cell r="AK1" t="str">
            <v>Qg</v>
          </cell>
          <cell r="AL1" t="str">
            <v>Maker</v>
          </cell>
        </row>
        <row r="2">
          <cell r="U2">
            <v>1</v>
          </cell>
          <cell r="V2" t="str">
            <v>&gt;0</v>
          </cell>
          <cell r="W2" t="str">
            <v>ПРС</v>
          </cell>
          <cell r="X2">
            <v>2</v>
          </cell>
          <cell r="Y2" t="str">
            <v>&gt;0</v>
          </cell>
          <cell r="Z2" t="str">
            <v>ПРС</v>
          </cell>
          <cell r="AA2">
            <v>3</v>
          </cell>
          <cell r="AB2" t="str">
            <v>&gt;0</v>
          </cell>
          <cell r="AC2" t="str">
            <v>ПРС</v>
          </cell>
          <cell r="AD2">
            <v>4</v>
          </cell>
          <cell r="AE2" t="str">
            <v>&gt;0</v>
          </cell>
          <cell r="AF2" t="str">
            <v>ПРС</v>
          </cell>
          <cell r="AG2">
            <v>5</v>
          </cell>
          <cell r="AH2" t="str">
            <v>&gt;0</v>
          </cell>
          <cell r="AI2" t="str">
            <v>ПРС</v>
          </cell>
          <cell r="AJ2">
            <v>6</v>
          </cell>
          <cell r="AK2" t="str">
            <v>&gt;0</v>
          </cell>
          <cell r="AL2" t="str">
            <v>ПРС</v>
          </cell>
        </row>
        <row r="3">
          <cell r="U3">
            <v>1</v>
          </cell>
          <cell r="V3" t="str">
            <v>&gt;0</v>
          </cell>
          <cell r="W3" t="str">
            <v>ШБ</v>
          </cell>
          <cell r="X3">
            <v>2</v>
          </cell>
          <cell r="Y3" t="str">
            <v>&gt;0</v>
          </cell>
          <cell r="Z3" t="str">
            <v>ШБ</v>
          </cell>
          <cell r="AA3">
            <v>3</v>
          </cell>
          <cell r="AB3" t="str">
            <v>&gt;0</v>
          </cell>
          <cell r="AC3" t="str">
            <v>ШБ</v>
          </cell>
          <cell r="AD3">
            <v>4</v>
          </cell>
          <cell r="AE3" t="str">
            <v>&gt;0</v>
          </cell>
          <cell r="AF3" t="str">
            <v>ШБ</v>
          </cell>
          <cell r="AG3">
            <v>5</v>
          </cell>
          <cell r="AH3" t="str">
            <v>&gt;0</v>
          </cell>
          <cell r="AI3" t="str">
            <v>ШБ</v>
          </cell>
          <cell r="AJ3">
            <v>6</v>
          </cell>
          <cell r="AK3" t="str">
            <v>&gt;0</v>
          </cell>
          <cell r="AL3" t="str">
            <v>ШБ</v>
          </cell>
        </row>
        <row r="4">
          <cell r="A4">
            <v>22</v>
          </cell>
          <cell r="B4" t="str">
            <v>ВП</v>
          </cell>
          <cell r="C4">
            <v>1</v>
          </cell>
          <cell r="D4">
            <v>4</v>
          </cell>
          <cell r="E4">
            <v>227</v>
          </cell>
          <cell r="F4" t="str">
            <v>ЭЦН</v>
          </cell>
          <cell r="G4" t="str">
            <v>прост.</v>
          </cell>
          <cell r="H4" t="str">
            <v>200-1700</v>
          </cell>
          <cell r="I4">
            <v>2200</v>
          </cell>
          <cell r="J4">
            <v>37092</v>
          </cell>
          <cell r="K4" t="str">
            <v>ПРС</v>
          </cell>
          <cell r="L4">
            <v>37092</v>
          </cell>
          <cell r="M4">
            <v>37094</v>
          </cell>
          <cell r="N4">
            <v>1420</v>
          </cell>
          <cell r="O4">
            <v>240</v>
          </cell>
          <cell r="P4">
            <v>52</v>
          </cell>
          <cell r="Q4" t="str">
            <v>ЦДНГ</v>
          </cell>
          <cell r="R4" t="str">
            <v>50-1700</v>
          </cell>
        </row>
        <row r="5">
          <cell r="A5">
            <v>155</v>
          </cell>
          <cell r="B5" t="str">
            <v>Прз</v>
          </cell>
          <cell r="C5">
            <v>5</v>
          </cell>
          <cell r="D5">
            <v>113</v>
          </cell>
          <cell r="E5">
            <v>6246</v>
          </cell>
          <cell r="F5" t="str">
            <v>ЭЦН</v>
          </cell>
          <cell r="G5" t="str">
            <v>прост</v>
          </cell>
          <cell r="H5" t="str">
            <v>125-1800</v>
          </cell>
          <cell r="I5">
            <v>2340</v>
          </cell>
          <cell r="J5">
            <v>37091</v>
          </cell>
          <cell r="K5" t="str">
            <v>ПРС</v>
          </cell>
          <cell r="L5">
            <v>37092</v>
          </cell>
          <cell r="M5">
            <v>37095</v>
          </cell>
          <cell r="N5">
            <v>1040</v>
          </cell>
          <cell r="O5">
            <v>76</v>
          </cell>
          <cell r="P5">
            <v>61</v>
          </cell>
          <cell r="Q5" t="str">
            <v>ЦДНГ</v>
          </cell>
          <cell r="R5" t="str">
            <v>DN-1000</v>
          </cell>
        </row>
        <row r="6">
          <cell r="A6">
            <v>215</v>
          </cell>
          <cell r="B6" t="str">
            <v>Прб</v>
          </cell>
          <cell r="C6">
            <v>6</v>
          </cell>
          <cell r="D6">
            <v>111</v>
          </cell>
          <cell r="E6">
            <v>2241</v>
          </cell>
          <cell r="F6" t="str">
            <v>ЭЦН</v>
          </cell>
          <cell r="G6" t="str">
            <v>прост.</v>
          </cell>
          <cell r="H6" t="str">
            <v>30-1850</v>
          </cell>
          <cell r="I6">
            <v>2360</v>
          </cell>
          <cell r="J6">
            <v>37092</v>
          </cell>
          <cell r="K6" t="str">
            <v>ПРС-20</v>
          </cell>
          <cell r="L6">
            <v>37092</v>
          </cell>
          <cell r="M6">
            <v>37094</v>
          </cell>
          <cell r="N6">
            <v>1861</v>
          </cell>
          <cell r="O6">
            <v>28</v>
          </cell>
          <cell r="P6">
            <v>23</v>
          </cell>
          <cell r="Q6" t="str">
            <v>Привод</v>
          </cell>
          <cell r="R6" t="str">
            <v>DN-440</v>
          </cell>
        </row>
        <row r="7">
          <cell r="A7">
            <v>217</v>
          </cell>
          <cell r="B7" t="str">
            <v>Прб</v>
          </cell>
          <cell r="C7">
            <v>6</v>
          </cell>
          <cell r="D7">
            <v>100</v>
          </cell>
          <cell r="E7">
            <v>64</v>
          </cell>
          <cell r="F7" t="str">
            <v>ЭЦН</v>
          </cell>
          <cell r="G7" t="str">
            <v>прост.</v>
          </cell>
          <cell r="H7" t="str">
            <v>80-1800</v>
          </cell>
          <cell r="I7">
            <v>2380</v>
          </cell>
          <cell r="J7">
            <v>37092</v>
          </cell>
          <cell r="K7" t="str">
            <v>ПРС-13</v>
          </cell>
          <cell r="L7">
            <v>37092</v>
          </cell>
          <cell r="M7">
            <v>37094</v>
          </cell>
          <cell r="N7">
            <v>1464</v>
          </cell>
          <cell r="O7">
            <v>75</v>
          </cell>
          <cell r="P7">
            <v>60</v>
          </cell>
          <cell r="Q7" t="str">
            <v>ЦДНГ</v>
          </cell>
          <cell r="R7" t="str">
            <v>80-2000</v>
          </cell>
        </row>
        <row r="8">
          <cell r="A8">
            <v>156</v>
          </cell>
          <cell r="B8" t="str">
            <v>Прз</v>
          </cell>
          <cell r="C8">
            <v>5</v>
          </cell>
          <cell r="D8">
            <v>132</v>
          </cell>
          <cell r="E8">
            <v>6345</v>
          </cell>
          <cell r="F8" t="str">
            <v>ЭЦН</v>
          </cell>
          <cell r="G8" t="str">
            <v>прост</v>
          </cell>
          <cell r="H8" t="str">
            <v>DN-440</v>
          </cell>
          <cell r="I8">
            <v>2260</v>
          </cell>
          <cell r="J8">
            <v>37093</v>
          </cell>
          <cell r="K8" t="str">
            <v>ПРС</v>
          </cell>
          <cell r="L8">
            <v>37093</v>
          </cell>
          <cell r="M8">
            <v>37096</v>
          </cell>
          <cell r="N8">
            <v>1450</v>
          </cell>
          <cell r="O8">
            <v>22</v>
          </cell>
          <cell r="P8">
            <v>18</v>
          </cell>
          <cell r="Q8" t="str">
            <v>ЦДНГ</v>
          </cell>
          <cell r="R8" t="str">
            <v>60-1350</v>
          </cell>
        </row>
        <row r="9">
          <cell r="A9">
            <v>218</v>
          </cell>
          <cell r="B9" t="str">
            <v>Прб</v>
          </cell>
          <cell r="C9">
            <v>6</v>
          </cell>
          <cell r="D9">
            <v>111</v>
          </cell>
          <cell r="E9">
            <v>1260</v>
          </cell>
          <cell r="F9" t="str">
            <v>ШГН</v>
          </cell>
          <cell r="G9" t="str">
            <v>прост.</v>
          </cell>
          <cell r="H9" t="str">
            <v>нн-57</v>
          </cell>
          <cell r="I9">
            <v>1160</v>
          </cell>
          <cell r="J9">
            <v>37093</v>
          </cell>
          <cell r="K9" t="str">
            <v>ПРС-20</v>
          </cell>
          <cell r="L9">
            <v>37093</v>
          </cell>
          <cell r="M9">
            <v>37096</v>
          </cell>
          <cell r="N9">
            <v>1105</v>
          </cell>
          <cell r="O9">
            <v>9</v>
          </cell>
          <cell r="P9">
            <v>8</v>
          </cell>
          <cell r="Q9" t="str">
            <v>ЦНИПР</v>
          </cell>
          <cell r="R9" t="str">
            <v>нн-57</v>
          </cell>
        </row>
        <row r="10">
          <cell r="A10">
            <v>219</v>
          </cell>
          <cell r="B10" t="str">
            <v>Прб</v>
          </cell>
          <cell r="C10">
            <v>6</v>
          </cell>
          <cell r="D10">
            <v>120</v>
          </cell>
          <cell r="E10">
            <v>1155</v>
          </cell>
          <cell r="F10" t="str">
            <v>ЭЦН</v>
          </cell>
          <cell r="G10" t="str">
            <v>прост.</v>
          </cell>
          <cell r="H10" t="str">
            <v>125-1800</v>
          </cell>
          <cell r="I10">
            <v>2360</v>
          </cell>
          <cell r="J10">
            <v>37093</v>
          </cell>
          <cell r="K10" t="str">
            <v>ПРС-19</v>
          </cell>
          <cell r="L10">
            <v>37093</v>
          </cell>
          <cell r="M10">
            <v>37095</v>
          </cell>
          <cell r="N10">
            <v>1720</v>
          </cell>
          <cell r="O10">
            <v>109</v>
          </cell>
          <cell r="P10">
            <v>88</v>
          </cell>
          <cell r="Q10" t="str">
            <v>Привод</v>
          </cell>
          <cell r="R10" t="str">
            <v>80-1800</v>
          </cell>
        </row>
        <row r="11">
          <cell r="A11">
            <v>23</v>
          </cell>
          <cell r="B11" t="str">
            <v>Пр</v>
          </cell>
          <cell r="C11">
            <v>1</v>
          </cell>
          <cell r="D11">
            <v>201</v>
          </cell>
          <cell r="E11">
            <v>1012</v>
          </cell>
          <cell r="F11" t="str">
            <v>ШГН</v>
          </cell>
          <cell r="G11" t="str">
            <v>б/д</v>
          </cell>
          <cell r="H11" t="str">
            <v>НН-57</v>
          </cell>
          <cell r="I11">
            <v>1152</v>
          </cell>
          <cell r="J11">
            <v>37094</v>
          </cell>
          <cell r="K11" t="str">
            <v>КРС</v>
          </cell>
          <cell r="L11">
            <v>37094</v>
          </cell>
          <cell r="M11">
            <v>37098</v>
          </cell>
          <cell r="N11">
            <v>640</v>
          </cell>
          <cell r="O11">
            <v>18</v>
          </cell>
          <cell r="P11">
            <v>7.7</v>
          </cell>
          <cell r="Q11" t="str">
            <v>ЦДНГ</v>
          </cell>
          <cell r="R11" t="str">
            <v>НН-44 , лов.раб.</v>
          </cell>
        </row>
        <row r="12">
          <cell r="A12">
            <v>157</v>
          </cell>
          <cell r="B12" t="str">
            <v>Прз</v>
          </cell>
          <cell r="C12">
            <v>5</v>
          </cell>
          <cell r="D12">
            <v>67</v>
          </cell>
          <cell r="E12">
            <v>5759</v>
          </cell>
          <cell r="F12" t="str">
            <v>ЭЦН</v>
          </cell>
          <cell r="G12" t="str">
            <v>прост</v>
          </cell>
          <cell r="H12" t="str">
            <v>60-2000</v>
          </cell>
          <cell r="I12">
            <v>2340</v>
          </cell>
          <cell r="J12">
            <v>37094</v>
          </cell>
          <cell r="K12" t="str">
            <v>КРС</v>
          </cell>
          <cell r="L12">
            <v>37094</v>
          </cell>
          <cell r="M12">
            <v>37097</v>
          </cell>
          <cell r="N12" t="str">
            <v>Клин</v>
          </cell>
          <cell r="Q12" t="str">
            <v>ЦДНГ</v>
          </cell>
          <cell r="R12" t="str">
            <v>80-1300</v>
          </cell>
        </row>
        <row r="13">
          <cell r="A13">
            <v>220</v>
          </cell>
          <cell r="B13" t="str">
            <v>Прб</v>
          </cell>
          <cell r="C13">
            <v>6</v>
          </cell>
          <cell r="D13">
            <v>141</v>
          </cell>
          <cell r="E13">
            <v>2346</v>
          </cell>
          <cell r="F13" t="str">
            <v>ЭЦН</v>
          </cell>
          <cell r="G13" t="str">
            <v>прост.</v>
          </cell>
          <cell r="H13" t="str">
            <v>60-1500</v>
          </cell>
          <cell r="I13">
            <v>2255</v>
          </cell>
          <cell r="J13">
            <v>37094</v>
          </cell>
          <cell r="K13" t="str">
            <v>ПРС-14</v>
          </cell>
          <cell r="L13">
            <v>37094</v>
          </cell>
          <cell r="M13">
            <v>37096</v>
          </cell>
          <cell r="N13">
            <v>1250</v>
          </cell>
          <cell r="O13">
            <v>45</v>
          </cell>
          <cell r="P13">
            <v>37</v>
          </cell>
          <cell r="Q13" t="str">
            <v>ЦДНГ</v>
          </cell>
          <cell r="R13" t="str">
            <v>50-1550</v>
          </cell>
        </row>
        <row r="14">
          <cell r="A14">
            <v>221</v>
          </cell>
          <cell r="B14" t="str">
            <v>Прб</v>
          </cell>
          <cell r="C14">
            <v>6</v>
          </cell>
          <cell r="D14">
            <v>114</v>
          </cell>
          <cell r="E14">
            <v>3096</v>
          </cell>
          <cell r="F14" t="str">
            <v>ЭЦН</v>
          </cell>
          <cell r="G14" t="str">
            <v>прост.</v>
          </cell>
          <cell r="H14" t="str">
            <v>60-2000</v>
          </cell>
          <cell r="I14">
            <v>2367</v>
          </cell>
          <cell r="J14">
            <v>37095</v>
          </cell>
          <cell r="K14" t="str">
            <v>ПРС-6</v>
          </cell>
          <cell r="L14">
            <v>37095</v>
          </cell>
          <cell r="M14">
            <v>37098</v>
          </cell>
          <cell r="N14">
            <v>2096</v>
          </cell>
          <cell r="O14">
            <v>44</v>
          </cell>
          <cell r="P14">
            <v>36</v>
          </cell>
          <cell r="Q14" t="str">
            <v>Привод</v>
          </cell>
          <cell r="R14" t="str">
            <v>50-2100</v>
          </cell>
        </row>
        <row r="15">
          <cell r="A15">
            <v>222</v>
          </cell>
          <cell r="B15" t="str">
            <v>Прб</v>
          </cell>
          <cell r="C15">
            <v>6</v>
          </cell>
          <cell r="D15">
            <v>99</v>
          </cell>
          <cell r="E15">
            <v>6</v>
          </cell>
          <cell r="F15" t="str">
            <v>ЭЦН</v>
          </cell>
          <cell r="G15" t="str">
            <v>прост.</v>
          </cell>
          <cell r="H15" t="str">
            <v>50-1500</v>
          </cell>
          <cell r="I15">
            <v>1985</v>
          </cell>
          <cell r="J15">
            <v>37095</v>
          </cell>
          <cell r="K15" t="str">
            <v>ПРС-13</v>
          </cell>
          <cell r="L15">
            <v>37095</v>
          </cell>
          <cell r="M15">
            <v>37102</v>
          </cell>
          <cell r="N15" t="str">
            <v>АПВ-20ч</v>
          </cell>
          <cell r="O15">
            <v>5</v>
          </cell>
          <cell r="P15">
            <v>4</v>
          </cell>
          <cell r="Q15" t="str">
            <v>Привод</v>
          </cell>
          <cell r="R15" t="str">
            <v>60-2000</v>
          </cell>
        </row>
        <row r="16">
          <cell r="A16">
            <v>223</v>
          </cell>
          <cell r="B16" t="str">
            <v>Прб</v>
          </cell>
          <cell r="C16">
            <v>6</v>
          </cell>
          <cell r="D16">
            <v>141</v>
          </cell>
          <cell r="E16">
            <v>2386</v>
          </cell>
          <cell r="F16" t="str">
            <v>ЭЦН</v>
          </cell>
          <cell r="G16" t="str">
            <v>из бурения</v>
          </cell>
          <cell r="H16" t="str">
            <v>125-1800</v>
          </cell>
          <cell r="I16">
            <v>2500</v>
          </cell>
          <cell r="J16">
            <v>37095</v>
          </cell>
          <cell r="K16" t="str">
            <v>ШБ-4</v>
          </cell>
          <cell r="L16">
            <v>37095</v>
          </cell>
          <cell r="M16">
            <v>37097</v>
          </cell>
          <cell r="N16">
            <v>1050</v>
          </cell>
          <cell r="O16">
            <v>132</v>
          </cell>
          <cell r="P16">
            <v>114</v>
          </cell>
          <cell r="Q16" t="str">
            <v>ЦДНГ</v>
          </cell>
          <cell r="R16" t="str">
            <v>из бурения, ГРП</v>
          </cell>
        </row>
        <row r="17">
          <cell r="A17">
            <v>25</v>
          </cell>
          <cell r="B17" t="str">
            <v>Пр</v>
          </cell>
          <cell r="C17">
            <v>1</v>
          </cell>
          <cell r="D17">
            <v>199</v>
          </cell>
          <cell r="E17">
            <v>3118</v>
          </cell>
          <cell r="F17" t="str">
            <v>ЭЦН</v>
          </cell>
          <cell r="G17" t="str">
            <v>прост.</v>
          </cell>
          <cell r="H17" t="str">
            <v>80-2000</v>
          </cell>
          <cell r="I17">
            <v>2360</v>
          </cell>
          <cell r="J17">
            <v>37096</v>
          </cell>
          <cell r="K17" t="str">
            <v>ПРС</v>
          </cell>
          <cell r="L17">
            <v>37096</v>
          </cell>
          <cell r="M17">
            <v>37102</v>
          </cell>
          <cell r="N17">
            <v>1880</v>
          </cell>
          <cell r="O17">
            <v>69</v>
          </cell>
          <cell r="P17">
            <v>36</v>
          </cell>
          <cell r="Q17" t="str">
            <v>ЦДНГ</v>
          </cell>
          <cell r="R17" t="str">
            <v>80-2000</v>
          </cell>
        </row>
        <row r="18">
          <cell r="A18">
            <v>158</v>
          </cell>
          <cell r="B18" t="str">
            <v>Прз</v>
          </cell>
          <cell r="C18">
            <v>5</v>
          </cell>
          <cell r="D18">
            <v>27</v>
          </cell>
          <cell r="E18">
            <v>5754</v>
          </cell>
          <cell r="F18" t="str">
            <v>ЭЦН</v>
          </cell>
          <cell r="G18" t="str">
            <v>прост</v>
          </cell>
          <cell r="H18" t="str">
            <v>50-2000</v>
          </cell>
          <cell r="I18">
            <v>2270</v>
          </cell>
          <cell r="J18">
            <v>37096</v>
          </cell>
          <cell r="K18" t="str">
            <v>ПРС</v>
          </cell>
          <cell r="L18">
            <v>37096</v>
          </cell>
          <cell r="M18">
            <v>37099</v>
          </cell>
          <cell r="N18">
            <v>1696</v>
          </cell>
          <cell r="O18">
            <v>43</v>
          </cell>
          <cell r="P18">
            <v>36</v>
          </cell>
          <cell r="Q18" t="str">
            <v>ЦДНГ</v>
          </cell>
          <cell r="R18" t="str">
            <v>80-1800</v>
          </cell>
        </row>
        <row r="19">
          <cell r="A19">
            <v>159</v>
          </cell>
          <cell r="B19" t="str">
            <v>Прз</v>
          </cell>
          <cell r="C19">
            <v>5</v>
          </cell>
          <cell r="D19">
            <v>41</v>
          </cell>
          <cell r="E19">
            <v>825</v>
          </cell>
          <cell r="F19" t="str">
            <v>ЭЦН</v>
          </cell>
          <cell r="G19" t="str">
            <v>прост</v>
          </cell>
          <cell r="H19" t="str">
            <v>DN-440</v>
          </cell>
          <cell r="I19">
            <v>2226</v>
          </cell>
          <cell r="J19">
            <v>37096</v>
          </cell>
          <cell r="K19" t="str">
            <v>ПРС</v>
          </cell>
          <cell r="L19">
            <v>37096</v>
          </cell>
          <cell r="M19">
            <v>37097</v>
          </cell>
          <cell r="N19">
            <v>1270</v>
          </cell>
          <cell r="O19">
            <v>40</v>
          </cell>
          <cell r="P19">
            <v>23</v>
          </cell>
          <cell r="Q19" t="str">
            <v>ЦДНГ</v>
          </cell>
          <cell r="R19" t="str">
            <v>50-1700</v>
          </cell>
        </row>
        <row r="20">
          <cell r="A20">
            <v>160</v>
          </cell>
          <cell r="B20" t="str">
            <v>Прз</v>
          </cell>
          <cell r="C20">
            <v>5</v>
          </cell>
          <cell r="D20">
            <v>77</v>
          </cell>
          <cell r="E20">
            <v>635</v>
          </cell>
          <cell r="F20" t="str">
            <v>ЭЦН</v>
          </cell>
          <cell r="G20" t="str">
            <v>прост</v>
          </cell>
          <cell r="H20" t="str">
            <v>30-1800</v>
          </cell>
          <cell r="I20">
            <v>2220</v>
          </cell>
          <cell r="J20">
            <v>37096</v>
          </cell>
          <cell r="K20" t="str">
            <v>ПРС</v>
          </cell>
          <cell r="L20">
            <v>37096</v>
          </cell>
          <cell r="M20">
            <v>37102</v>
          </cell>
          <cell r="N20">
            <v>1480</v>
          </cell>
          <cell r="O20">
            <v>34</v>
          </cell>
          <cell r="P20">
            <v>28</v>
          </cell>
          <cell r="Q20" t="str">
            <v>ЦДНГ</v>
          </cell>
          <cell r="R20" t="str">
            <v>50-1300</v>
          </cell>
        </row>
        <row r="21">
          <cell r="A21">
            <v>161</v>
          </cell>
          <cell r="B21" t="str">
            <v>Прз</v>
          </cell>
          <cell r="C21">
            <v>5</v>
          </cell>
          <cell r="D21">
            <v>112</v>
          </cell>
          <cell r="E21">
            <v>6313</v>
          </cell>
          <cell r="F21" t="str">
            <v>ШГН</v>
          </cell>
          <cell r="G21" t="str">
            <v>безд</v>
          </cell>
          <cell r="H21" t="str">
            <v>НН-44</v>
          </cell>
          <cell r="I21">
            <v>1200</v>
          </cell>
          <cell r="J21">
            <v>37095</v>
          </cell>
          <cell r="K21" t="str">
            <v>КРС</v>
          </cell>
          <cell r="L21">
            <v>37096</v>
          </cell>
          <cell r="M21">
            <v>37100</v>
          </cell>
          <cell r="N21">
            <v>690</v>
          </cell>
          <cell r="O21">
            <v>11</v>
          </cell>
          <cell r="P21">
            <v>3</v>
          </cell>
          <cell r="Q21" t="str">
            <v>ЦДНГ</v>
          </cell>
          <cell r="R21" t="str">
            <v>НН-44</v>
          </cell>
        </row>
        <row r="22">
          <cell r="A22">
            <v>224</v>
          </cell>
          <cell r="B22" t="str">
            <v>Прб</v>
          </cell>
          <cell r="C22">
            <v>6</v>
          </cell>
          <cell r="D22">
            <v>122</v>
          </cell>
          <cell r="E22">
            <v>2090</v>
          </cell>
          <cell r="F22" t="str">
            <v>ШГН</v>
          </cell>
          <cell r="G22" t="str">
            <v>б/д</v>
          </cell>
          <cell r="H22" t="str">
            <v>нн-44</v>
          </cell>
          <cell r="I22">
            <v>1443</v>
          </cell>
          <cell r="J22">
            <v>37096</v>
          </cell>
          <cell r="K22" t="str">
            <v>ПРС-11</v>
          </cell>
          <cell r="L22">
            <v>37096</v>
          </cell>
          <cell r="M22">
            <v>37100</v>
          </cell>
          <cell r="N22">
            <v>902</v>
          </cell>
          <cell r="O22">
            <v>11</v>
          </cell>
          <cell r="P22">
            <v>9</v>
          </cell>
          <cell r="Q22" t="str">
            <v>ЦНИПР</v>
          </cell>
          <cell r="R22" t="str">
            <v>50-1700</v>
          </cell>
        </row>
        <row r="23">
          <cell r="A23">
            <v>225</v>
          </cell>
          <cell r="B23" t="str">
            <v>Прб</v>
          </cell>
          <cell r="C23">
            <v>6</v>
          </cell>
          <cell r="D23">
            <v>140</v>
          </cell>
          <cell r="E23">
            <v>2301</v>
          </cell>
          <cell r="F23" t="str">
            <v>ЭЦН</v>
          </cell>
          <cell r="G23" t="str">
            <v>б/д</v>
          </cell>
          <cell r="H23" t="str">
            <v>60-1350</v>
          </cell>
          <cell r="I23">
            <v>2140</v>
          </cell>
          <cell r="J23">
            <v>37097</v>
          </cell>
          <cell r="K23" t="str">
            <v>ПРС-14</v>
          </cell>
          <cell r="L23">
            <v>37097</v>
          </cell>
          <cell r="M23">
            <v>37101</v>
          </cell>
          <cell r="N23" t="str">
            <v>АПВ-4ч</v>
          </cell>
          <cell r="O23">
            <v>20</v>
          </cell>
          <cell r="P23">
            <v>17</v>
          </cell>
          <cell r="Q23" t="str">
            <v>ЦДНГ</v>
          </cell>
          <cell r="R23" t="str">
            <v>50-1550</v>
          </cell>
        </row>
        <row r="24">
          <cell r="A24">
            <v>226</v>
          </cell>
          <cell r="B24" t="str">
            <v>Прб</v>
          </cell>
          <cell r="C24">
            <v>6</v>
          </cell>
          <cell r="D24">
            <v>120</v>
          </cell>
          <cell r="E24">
            <v>3183</v>
          </cell>
          <cell r="F24" t="str">
            <v>ШГН</v>
          </cell>
          <cell r="G24" t="str">
            <v>прост.</v>
          </cell>
          <cell r="H24" t="str">
            <v>нн-44</v>
          </cell>
          <cell r="I24">
            <v>1491</v>
          </cell>
          <cell r="J24">
            <v>37097</v>
          </cell>
          <cell r="K24" t="str">
            <v>ПРС-19</v>
          </cell>
          <cell r="L24">
            <v>37097</v>
          </cell>
          <cell r="M24">
            <v>37102</v>
          </cell>
          <cell r="N24">
            <v>1142</v>
          </cell>
          <cell r="O24">
            <v>7</v>
          </cell>
          <cell r="P24">
            <v>6</v>
          </cell>
          <cell r="Q24" t="str">
            <v>ЦНИПР</v>
          </cell>
          <cell r="R24" t="str">
            <v>нн-44</v>
          </cell>
        </row>
        <row r="25">
          <cell r="A25">
            <v>26</v>
          </cell>
          <cell r="B25" t="str">
            <v>Пр</v>
          </cell>
          <cell r="C25">
            <v>1</v>
          </cell>
          <cell r="D25">
            <v>7</v>
          </cell>
          <cell r="E25">
            <v>1278</v>
          </cell>
          <cell r="F25" t="str">
            <v>ЭЦН</v>
          </cell>
          <cell r="G25" t="str">
            <v>прост.</v>
          </cell>
          <cell r="H25" t="str">
            <v>125-1800</v>
          </cell>
          <cell r="I25">
            <v>2200</v>
          </cell>
          <cell r="J25">
            <v>37098</v>
          </cell>
          <cell r="K25" t="str">
            <v>ПРС</v>
          </cell>
          <cell r="L25">
            <v>37098</v>
          </cell>
          <cell r="M25">
            <v>37101</v>
          </cell>
          <cell r="N25">
            <v>1420</v>
          </cell>
          <cell r="O25">
            <v>126</v>
          </cell>
          <cell r="P25">
            <v>53.7</v>
          </cell>
          <cell r="Q25" t="str">
            <v>ЦДНГ</v>
          </cell>
          <cell r="R25" t="str">
            <v>125-1400</v>
          </cell>
        </row>
        <row r="26">
          <cell r="A26">
            <v>227</v>
          </cell>
          <cell r="B26" t="str">
            <v>Прб</v>
          </cell>
          <cell r="C26">
            <v>6</v>
          </cell>
          <cell r="D26">
            <v>116</v>
          </cell>
          <cell r="E26">
            <v>3099</v>
          </cell>
          <cell r="F26" t="str">
            <v>ЭЦН</v>
          </cell>
          <cell r="G26" t="str">
            <v>прост.</v>
          </cell>
          <cell r="H26" t="str">
            <v>80-2000</v>
          </cell>
          <cell r="I26">
            <v>2360</v>
          </cell>
          <cell r="J26">
            <v>37098</v>
          </cell>
          <cell r="K26" t="str">
            <v>ПРС-6</v>
          </cell>
          <cell r="L26">
            <v>37098</v>
          </cell>
          <cell r="M26">
            <v>37101</v>
          </cell>
          <cell r="N26">
            <v>1540</v>
          </cell>
          <cell r="O26">
            <v>82</v>
          </cell>
          <cell r="P26">
            <v>49.5</v>
          </cell>
          <cell r="Q26" t="str">
            <v>ЦДНГ</v>
          </cell>
          <cell r="R26" t="str">
            <v>80-2000</v>
          </cell>
        </row>
        <row r="27">
          <cell r="A27">
            <v>229</v>
          </cell>
          <cell r="B27" t="str">
            <v>Прб</v>
          </cell>
          <cell r="C27">
            <v>6</v>
          </cell>
          <cell r="D27">
            <v>113</v>
          </cell>
          <cell r="E27">
            <v>1204</v>
          </cell>
          <cell r="F27" t="str">
            <v>ЭЦН</v>
          </cell>
          <cell r="G27" t="str">
            <v>прост.</v>
          </cell>
          <cell r="H27" t="str">
            <v>50-2000</v>
          </cell>
          <cell r="I27">
            <v>2480</v>
          </cell>
          <cell r="J27">
            <v>37098</v>
          </cell>
          <cell r="K27" t="str">
            <v>ПРС-13</v>
          </cell>
          <cell r="L27">
            <v>37098</v>
          </cell>
          <cell r="M27">
            <v>37101</v>
          </cell>
          <cell r="N27">
            <v>1818</v>
          </cell>
          <cell r="O27">
            <v>52</v>
          </cell>
          <cell r="P27">
            <v>42</v>
          </cell>
          <cell r="Q27" t="str">
            <v>Привод</v>
          </cell>
          <cell r="R27" t="str">
            <v>60-2000</v>
          </cell>
        </row>
        <row r="28">
          <cell r="A28">
            <v>230</v>
          </cell>
          <cell r="B28" t="str">
            <v>Прб</v>
          </cell>
          <cell r="C28">
            <v>6</v>
          </cell>
          <cell r="D28">
            <v>110</v>
          </cell>
          <cell r="E28">
            <v>2214</v>
          </cell>
          <cell r="F28" t="str">
            <v>ЭЦН</v>
          </cell>
          <cell r="G28" t="str">
            <v>прост.</v>
          </cell>
          <cell r="H28" t="str">
            <v>60-2000</v>
          </cell>
          <cell r="I28">
            <v>2450</v>
          </cell>
          <cell r="J28">
            <v>37098</v>
          </cell>
          <cell r="K28" t="str">
            <v>ПРС-20</v>
          </cell>
          <cell r="L28">
            <v>37098</v>
          </cell>
          <cell r="M28">
            <v>37100</v>
          </cell>
          <cell r="N28" t="str">
            <v>негерметичность НКТ</v>
          </cell>
          <cell r="Q28" t="str">
            <v>Привод</v>
          </cell>
          <cell r="R28" t="str">
            <v>50-2000</v>
          </cell>
        </row>
        <row r="29">
          <cell r="A29">
            <v>231</v>
          </cell>
          <cell r="B29" t="str">
            <v>Прб</v>
          </cell>
          <cell r="C29">
            <v>6</v>
          </cell>
          <cell r="D29">
            <v>99</v>
          </cell>
          <cell r="E29">
            <v>1081</v>
          </cell>
          <cell r="F29" t="str">
            <v>ШГН</v>
          </cell>
          <cell r="G29" t="str">
            <v>прост.</v>
          </cell>
          <cell r="H29" t="str">
            <v>нн-44</v>
          </cell>
          <cell r="I29">
            <v>1415</v>
          </cell>
          <cell r="J29">
            <v>37098</v>
          </cell>
          <cell r="K29" t="str">
            <v>КРС-4</v>
          </cell>
          <cell r="L29">
            <v>37098</v>
          </cell>
          <cell r="M29">
            <v>37102</v>
          </cell>
          <cell r="N29">
            <v>1215</v>
          </cell>
          <cell r="O29">
            <v>7</v>
          </cell>
          <cell r="P29">
            <v>6</v>
          </cell>
          <cell r="Q29" t="str">
            <v>ЦНИПР</v>
          </cell>
          <cell r="R29" t="str">
            <v>нн-44</v>
          </cell>
        </row>
        <row r="30">
          <cell r="A30">
            <v>162</v>
          </cell>
          <cell r="B30" t="str">
            <v>Прз</v>
          </cell>
          <cell r="C30">
            <v>5</v>
          </cell>
          <cell r="D30">
            <v>52</v>
          </cell>
          <cell r="E30">
            <v>5879</v>
          </cell>
          <cell r="F30" t="str">
            <v>ШГН</v>
          </cell>
          <cell r="G30" t="str">
            <v>безд</v>
          </cell>
          <cell r="H30" t="str">
            <v>НН-44</v>
          </cell>
          <cell r="I30">
            <v>1522</v>
          </cell>
          <cell r="J30">
            <v>37099</v>
          </cell>
          <cell r="K30" t="str">
            <v>ПРС</v>
          </cell>
          <cell r="L30">
            <v>37099</v>
          </cell>
          <cell r="Q30" t="str">
            <v>ЦДНГ</v>
          </cell>
          <cell r="R30" t="str">
            <v>50-1300</v>
          </cell>
        </row>
        <row r="31">
          <cell r="A31">
            <v>163</v>
          </cell>
          <cell r="B31" t="str">
            <v>Прз</v>
          </cell>
          <cell r="C31">
            <v>5</v>
          </cell>
          <cell r="D31">
            <v>67</v>
          </cell>
          <cell r="E31">
            <v>3261</v>
          </cell>
          <cell r="F31" t="str">
            <v>ЭЦН</v>
          </cell>
          <cell r="G31" t="str">
            <v>прост</v>
          </cell>
          <cell r="H31" t="str">
            <v>DN-800</v>
          </cell>
          <cell r="I31">
            <v>2316</v>
          </cell>
          <cell r="J31">
            <v>37099</v>
          </cell>
          <cell r="K31" t="str">
            <v>ПРС</v>
          </cell>
          <cell r="L31">
            <v>37099</v>
          </cell>
          <cell r="M31">
            <v>37102</v>
          </cell>
          <cell r="N31">
            <v>1260</v>
          </cell>
          <cell r="O31">
            <v>105</v>
          </cell>
          <cell r="P31">
            <v>88</v>
          </cell>
          <cell r="Q31" t="str">
            <v>ЦДНГ</v>
          </cell>
          <cell r="R31" t="str">
            <v>DN-610</v>
          </cell>
        </row>
        <row r="32">
          <cell r="A32">
            <v>164</v>
          </cell>
          <cell r="B32" t="str">
            <v>Прз</v>
          </cell>
          <cell r="C32">
            <v>5</v>
          </cell>
          <cell r="D32">
            <v>25</v>
          </cell>
          <cell r="E32">
            <v>3253</v>
          </cell>
          <cell r="F32" t="str">
            <v>ШГН</v>
          </cell>
          <cell r="G32" t="str">
            <v>прост</v>
          </cell>
          <cell r="H32" t="str">
            <v>НН-57</v>
          </cell>
          <cell r="I32">
            <v>1512</v>
          </cell>
          <cell r="J32">
            <v>37100</v>
          </cell>
          <cell r="K32" t="str">
            <v>ПРС</v>
          </cell>
          <cell r="L32">
            <v>37100</v>
          </cell>
          <cell r="M32" t="str">
            <v>31.07.01</v>
          </cell>
          <cell r="N32">
            <v>1240</v>
          </cell>
          <cell r="O32">
            <v>18</v>
          </cell>
          <cell r="P32">
            <v>15</v>
          </cell>
          <cell r="Q32" t="str">
            <v>ЦДНГ</v>
          </cell>
          <cell r="R32" t="str">
            <v>НН-44</v>
          </cell>
        </row>
        <row r="33">
          <cell r="A33">
            <v>233</v>
          </cell>
          <cell r="B33" t="str">
            <v>Прб</v>
          </cell>
          <cell r="C33">
            <v>6</v>
          </cell>
          <cell r="D33">
            <v>140</v>
          </cell>
          <cell r="E33">
            <v>3761</v>
          </cell>
          <cell r="F33" t="str">
            <v>ЭЦН</v>
          </cell>
          <cell r="G33" t="str">
            <v>прост.</v>
          </cell>
          <cell r="H33" t="str">
            <v>60-2000</v>
          </cell>
          <cell r="I33">
            <v>2326</v>
          </cell>
          <cell r="J33">
            <v>37100</v>
          </cell>
          <cell r="K33" t="str">
            <v>ПРС-14</v>
          </cell>
          <cell r="L33">
            <v>37100</v>
          </cell>
          <cell r="M33">
            <v>37102</v>
          </cell>
          <cell r="N33">
            <v>1336</v>
          </cell>
          <cell r="O33">
            <v>49</v>
          </cell>
          <cell r="P33">
            <v>38</v>
          </cell>
          <cell r="Q33" t="str">
            <v>ЦДНГ</v>
          </cell>
          <cell r="R33" t="str">
            <v>60-2000</v>
          </cell>
        </row>
        <row r="34">
          <cell r="A34">
            <v>27</v>
          </cell>
          <cell r="B34" t="str">
            <v>Пр</v>
          </cell>
          <cell r="C34">
            <v>1</v>
          </cell>
          <cell r="D34">
            <v>105</v>
          </cell>
          <cell r="E34">
            <v>2433</v>
          </cell>
          <cell r="F34" t="str">
            <v>ЭЦН</v>
          </cell>
          <cell r="G34" t="str">
            <v>прост.</v>
          </cell>
          <cell r="H34" t="str">
            <v>80-1800</v>
          </cell>
          <cell r="I34">
            <v>2240</v>
          </cell>
          <cell r="J34">
            <v>37101</v>
          </cell>
          <cell r="K34" t="str">
            <v>КРС</v>
          </cell>
          <cell r="L34">
            <v>37101</v>
          </cell>
          <cell r="M34">
            <v>37101</v>
          </cell>
          <cell r="N34">
            <v>1480</v>
          </cell>
          <cell r="O34">
            <v>75</v>
          </cell>
          <cell r="P34">
            <v>32</v>
          </cell>
          <cell r="Q34" t="str">
            <v>ЦДНГ</v>
          </cell>
          <cell r="R34" t="str">
            <v>DN-800</v>
          </cell>
        </row>
        <row r="35">
          <cell r="A35">
            <v>165</v>
          </cell>
          <cell r="B35" t="str">
            <v>Прз</v>
          </cell>
          <cell r="C35">
            <v>5</v>
          </cell>
          <cell r="D35">
            <v>77</v>
          </cell>
          <cell r="E35">
            <v>5873</v>
          </cell>
          <cell r="F35" t="str">
            <v>ЭЦН</v>
          </cell>
          <cell r="G35" t="str">
            <v>прост</v>
          </cell>
          <cell r="H35" t="str">
            <v>30-1550</v>
          </cell>
          <cell r="I35">
            <v>2080</v>
          </cell>
          <cell r="J35">
            <v>37101</v>
          </cell>
          <cell r="K35" t="str">
            <v>ПРС</v>
          </cell>
          <cell r="L35">
            <v>37101</v>
          </cell>
          <cell r="M35">
            <v>37105</v>
          </cell>
          <cell r="N35">
            <v>1712</v>
          </cell>
          <cell r="O35">
            <v>25</v>
          </cell>
          <cell r="P35">
            <v>21</v>
          </cell>
          <cell r="Q35" t="str">
            <v>ЦДНГ</v>
          </cell>
          <cell r="R35" t="str">
            <v>30-1400</v>
          </cell>
        </row>
        <row r="36">
          <cell r="A36">
            <v>234</v>
          </cell>
          <cell r="B36" t="str">
            <v>Прб</v>
          </cell>
          <cell r="C36">
            <v>6</v>
          </cell>
          <cell r="D36">
            <v>111</v>
          </cell>
          <cell r="E36">
            <v>1241</v>
          </cell>
          <cell r="F36" t="str">
            <v>ЭЦН</v>
          </cell>
          <cell r="G36" t="str">
            <v>прост.</v>
          </cell>
          <cell r="H36" t="str">
            <v>50-1700</v>
          </cell>
          <cell r="I36">
            <v>2280</v>
          </cell>
          <cell r="J36">
            <v>37101</v>
          </cell>
          <cell r="K36" t="str">
            <v>ПРС-13</v>
          </cell>
          <cell r="L36">
            <v>37101</v>
          </cell>
          <cell r="M36">
            <v>37103</v>
          </cell>
          <cell r="N36">
            <v>1599</v>
          </cell>
          <cell r="O36">
            <v>40</v>
          </cell>
          <cell r="P36">
            <v>33</v>
          </cell>
          <cell r="Q36" t="str">
            <v>Привод</v>
          </cell>
          <cell r="R36" t="str">
            <v>60-1550</v>
          </cell>
        </row>
        <row r="37">
          <cell r="A37">
            <v>235</v>
          </cell>
          <cell r="B37" t="str">
            <v>Прб</v>
          </cell>
          <cell r="C37">
            <v>6</v>
          </cell>
          <cell r="D37">
            <v>101</v>
          </cell>
          <cell r="E37">
            <v>206</v>
          </cell>
          <cell r="F37" t="str">
            <v>ЭЦН</v>
          </cell>
          <cell r="G37" t="str">
            <v>прост.</v>
          </cell>
          <cell r="H37" t="str">
            <v>50-1700</v>
          </cell>
          <cell r="I37">
            <v>2225</v>
          </cell>
          <cell r="J37">
            <v>37101</v>
          </cell>
          <cell r="K37" t="str">
            <v>ПРС-6</v>
          </cell>
          <cell r="L37">
            <v>37101</v>
          </cell>
          <cell r="M37">
            <v>37104</v>
          </cell>
          <cell r="N37">
            <v>1486</v>
          </cell>
          <cell r="O37">
            <v>49</v>
          </cell>
          <cell r="P37">
            <v>27</v>
          </cell>
          <cell r="Q37" t="str">
            <v>Привод</v>
          </cell>
          <cell r="R37" t="str">
            <v>20-1400</v>
          </cell>
        </row>
        <row r="38">
          <cell r="A38">
            <v>236</v>
          </cell>
          <cell r="B38" t="str">
            <v>Прб</v>
          </cell>
          <cell r="C38">
            <v>6</v>
          </cell>
          <cell r="D38">
            <v>114</v>
          </cell>
          <cell r="E38">
            <v>3117</v>
          </cell>
          <cell r="F38" t="str">
            <v>ЭЦН</v>
          </cell>
          <cell r="G38" t="str">
            <v>прост.</v>
          </cell>
          <cell r="H38" t="str">
            <v>60-2000</v>
          </cell>
          <cell r="I38">
            <v>2420</v>
          </cell>
          <cell r="J38">
            <v>37101</v>
          </cell>
          <cell r="K38" t="str">
            <v>ПРС-20</v>
          </cell>
          <cell r="L38">
            <v>37101</v>
          </cell>
          <cell r="M38">
            <v>37104</v>
          </cell>
          <cell r="N38" t="str">
            <v>АПВ-4</v>
          </cell>
          <cell r="O38">
            <v>31</v>
          </cell>
          <cell r="P38">
            <v>23</v>
          </cell>
          <cell r="Q38" t="str">
            <v>ЦДНГ</v>
          </cell>
          <cell r="R38" t="str">
            <v>50-1700</v>
          </cell>
        </row>
        <row r="39">
          <cell r="A39">
            <v>166</v>
          </cell>
          <cell r="B39" t="str">
            <v>Прз</v>
          </cell>
          <cell r="C39">
            <v>5</v>
          </cell>
          <cell r="D39">
            <v>102</v>
          </cell>
          <cell r="E39">
            <v>983</v>
          </cell>
          <cell r="F39" t="str">
            <v>ШГН</v>
          </cell>
          <cell r="G39" t="str">
            <v>прост</v>
          </cell>
          <cell r="H39" t="str">
            <v>НН-57</v>
          </cell>
          <cell r="I39">
            <v>1040</v>
          </cell>
          <cell r="J39">
            <v>37102</v>
          </cell>
          <cell r="K39" t="str">
            <v>ПРС</v>
          </cell>
          <cell r="L39">
            <v>37102</v>
          </cell>
          <cell r="M39">
            <v>37107</v>
          </cell>
          <cell r="N39">
            <v>1100</v>
          </cell>
          <cell r="O39">
            <v>17</v>
          </cell>
          <cell r="P39">
            <v>6</v>
          </cell>
          <cell r="Q39" t="str">
            <v>ЦДНГ</v>
          </cell>
          <cell r="R39" t="str">
            <v>НН-57</v>
          </cell>
        </row>
        <row r="40">
          <cell r="A40">
            <v>167</v>
          </cell>
          <cell r="B40" t="str">
            <v>Прз</v>
          </cell>
          <cell r="C40">
            <v>5</v>
          </cell>
          <cell r="D40">
            <v>132</v>
          </cell>
          <cell r="E40">
            <v>6344</v>
          </cell>
          <cell r="F40" t="str">
            <v>ЭЦН</v>
          </cell>
          <cell r="G40" t="str">
            <v>прост</v>
          </cell>
          <cell r="H40" t="str">
            <v>60-1350</v>
          </cell>
          <cell r="I40">
            <v>1845</v>
          </cell>
          <cell r="J40">
            <v>37102</v>
          </cell>
          <cell r="K40" t="str">
            <v>КРС</v>
          </cell>
          <cell r="L40">
            <v>37102</v>
          </cell>
          <cell r="M40">
            <v>37105</v>
          </cell>
          <cell r="N40" t="str">
            <v>АПВ-4</v>
          </cell>
          <cell r="O40">
            <v>25</v>
          </cell>
          <cell r="P40">
            <v>16</v>
          </cell>
          <cell r="Q40" t="str">
            <v>ЦДНГ</v>
          </cell>
          <cell r="R40" t="str">
            <v>50-1550</v>
          </cell>
        </row>
        <row r="41">
          <cell r="A41">
            <v>168</v>
          </cell>
          <cell r="B41" t="str">
            <v>Прз</v>
          </cell>
          <cell r="C41">
            <v>5</v>
          </cell>
          <cell r="D41">
            <v>132</v>
          </cell>
          <cell r="E41">
            <v>6314</v>
          </cell>
          <cell r="F41" t="str">
            <v>ШГН</v>
          </cell>
          <cell r="G41" t="str">
            <v>прост</v>
          </cell>
          <cell r="H41" t="str">
            <v>НН-57</v>
          </cell>
          <cell r="I41">
            <v>1344</v>
          </cell>
          <cell r="J41">
            <v>37102</v>
          </cell>
          <cell r="K41" t="str">
            <v>ЦДНГ</v>
          </cell>
          <cell r="L41">
            <v>37102</v>
          </cell>
          <cell r="M41">
            <v>37102</v>
          </cell>
          <cell r="N41">
            <v>780</v>
          </cell>
          <cell r="O41">
            <v>14</v>
          </cell>
          <cell r="P41">
            <v>11</v>
          </cell>
          <cell r="Q41" t="str">
            <v>ЦДНГ</v>
          </cell>
          <cell r="R41" t="str">
            <v>НН-57</v>
          </cell>
        </row>
        <row r="42">
          <cell r="A42">
            <v>237</v>
          </cell>
          <cell r="B42" t="str">
            <v>Прб</v>
          </cell>
          <cell r="C42">
            <v>6</v>
          </cell>
          <cell r="D42">
            <v>100</v>
          </cell>
          <cell r="E42">
            <v>500</v>
          </cell>
          <cell r="F42" t="str">
            <v>ЭЦН</v>
          </cell>
          <cell r="G42" t="str">
            <v>прост.</v>
          </cell>
          <cell r="H42" t="str">
            <v>60-1500</v>
          </cell>
          <cell r="I42">
            <v>2220</v>
          </cell>
          <cell r="J42">
            <v>37102</v>
          </cell>
          <cell r="K42" t="str">
            <v>ПРС-11</v>
          </cell>
          <cell r="L42">
            <v>37102</v>
          </cell>
          <cell r="M42">
            <v>37107</v>
          </cell>
          <cell r="N42" t="str">
            <v>АПВ-5</v>
          </cell>
          <cell r="O42">
            <v>31</v>
          </cell>
          <cell r="P42">
            <v>24</v>
          </cell>
          <cell r="Q42" t="str">
            <v>ЦДНГ</v>
          </cell>
          <cell r="R42" t="str">
            <v>50-1700</v>
          </cell>
        </row>
        <row r="43">
          <cell r="A43">
            <v>28</v>
          </cell>
          <cell r="B43" t="str">
            <v>ВП</v>
          </cell>
          <cell r="C43">
            <v>1</v>
          </cell>
          <cell r="D43">
            <v>2</v>
          </cell>
          <cell r="E43">
            <v>214</v>
          </cell>
          <cell r="F43" t="str">
            <v>ЭЦН</v>
          </cell>
          <cell r="G43" t="str">
            <v>прост.</v>
          </cell>
          <cell r="H43" t="str">
            <v>125-1200</v>
          </cell>
          <cell r="I43">
            <v>2300</v>
          </cell>
          <cell r="J43">
            <v>37103</v>
          </cell>
          <cell r="K43" t="str">
            <v>ПРС</v>
          </cell>
          <cell r="L43">
            <v>37103</v>
          </cell>
          <cell r="M43">
            <v>37105</v>
          </cell>
          <cell r="N43">
            <v>840</v>
          </cell>
          <cell r="O43">
            <v>170</v>
          </cell>
          <cell r="P43">
            <v>36</v>
          </cell>
          <cell r="Q43" t="str">
            <v>ЦДНГ</v>
          </cell>
          <cell r="R43" t="str">
            <v>50-1300</v>
          </cell>
        </row>
        <row r="44">
          <cell r="A44">
            <v>238</v>
          </cell>
          <cell r="B44" t="str">
            <v>Прб</v>
          </cell>
          <cell r="C44">
            <v>6</v>
          </cell>
          <cell r="D44">
            <v>140</v>
          </cell>
          <cell r="E44">
            <v>3762</v>
          </cell>
          <cell r="F44" t="str">
            <v>ЭЦН</v>
          </cell>
          <cell r="G44" t="str">
            <v>прост.</v>
          </cell>
          <cell r="H44" t="str">
            <v>50-1550</v>
          </cell>
          <cell r="I44">
            <v>2220</v>
          </cell>
          <cell r="J44">
            <v>37103</v>
          </cell>
          <cell r="K44" t="str">
            <v>ПРС-14</v>
          </cell>
          <cell r="L44">
            <v>37103</v>
          </cell>
          <cell r="M44">
            <v>37105</v>
          </cell>
          <cell r="N44" t="str">
            <v>АПВ-4</v>
          </cell>
          <cell r="O44">
            <v>23</v>
          </cell>
          <cell r="P44">
            <v>19</v>
          </cell>
          <cell r="Q44" t="str">
            <v>Привод</v>
          </cell>
          <cell r="R44" t="str">
            <v>60-1500</v>
          </cell>
        </row>
        <row r="45">
          <cell r="A45">
            <v>169</v>
          </cell>
          <cell r="B45" t="str">
            <v>Прз</v>
          </cell>
          <cell r="C45">
            <v>5</v>
          </cell>
          <cell r="D45">
            <v>100</v>
          </cell>
          <cell r="E45">
            <v>1027</v>
          </cell>
          <cell r="F45" t="str">
            <v>ШГН</v>
          </cell>
          <cell r="G45" t="str">
            <v>прост</v>
          </cell>
          <cell r="H45" t="str">
            <v>НН-44</v>
          </cell>
          <cell r="I45">
            <v>1264</v>
          </cell>
          <cell r="J45" t="str">
            <v>31.07.01</v>
          </cell>
          <cell r="K45" t="str">
            <v>ПРС</v>
          </cell>
          <cell r="L45" t="str">
            <v>31.07.01</v>
          </cell>
          <cell r="M45">
            <v>37108</v>
          </cell>
          <cell r="N45">
            <v>729</v>
          </cell>
          <cell r="O45">
            <v>15</v>
          </cell>
          <cell r="P45">
            <v>12</v>
          </cell>
          <cell r="Q45" t="str">
            <v>ЦДНГ</v>
          </cell>
          <cell r="R45" t="str">
            <v>НН-44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Q3" t="str">
            <v>Qж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тенциал"/>
      <sheetName val="ГИС сводн"/>
      <sheetName val="Np 01.03"/>
      <sheetName val="СЛАБ"/>
      <sheetName val="пласты"/>
      <sheetName val="Опт "/>
      <sheetName val="ИДН"/>
      <sheetName val="Ввод"/>
      <sheetName val="ГРП"/>
      <sheetName val="БД"/>
      <sheetName val="ППД"/>
      <sheetName val="ГИС_сводн"/>
      <sheetName val="Np_01_03"/>
      <sheetName val="Опт_"/>
      <sheetName val="СНГ"/>
      <sheetName val="JOE(для нов скв)"/>
      <sheetName val="9 мес на 12 т"/>
    </sheetNames>
    <sheetDataSet>
      <sheetData sheetId="0" refreshError="1">
        <row r="12">
          <cell r="B12">
            <v>437.5</v>
          </cell>
        </row>
        <row r="13">
          <cell r="B13">
            <v>375</v>
          </cell>
        </row>
        <row r="14">
          <cell r="B14">
            <v>437.5</v>
          </cell>
        </row>
        <row r="15">
          <cell r="B15">
            <v>0.108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вод"/>
      <sheetName val="ИДН"/>
      <sheetName val="Опт "/>
      <sheetName val="БД"/>
      <sheetName val="ППД"/>
      <sheetName val="ГРП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tings"/>
      <sheetName val="SqlQueries"/>
      <sheetName val="DailyReportTemplate"/>
      <sheetName val="Well_Start_Template"/>
      <sheetName val="Well_Stop_Template"/>
      <sheetName val="Moveout_Template"/>
      <sheetName val="Oil_Losses_Template"/>
      <sheetName val="moveout_map_template"/>
      <sheetName val="full_moveout_map_template"/>
      <sheetName val="balance_template"/>
      <sheetName val="apv_template"/>
      <sheetName val="apvs_templat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EH212"/>
  <sheetViews>
    <sheetView zoomScale="70" zoomScaleNormal="70" zoomScaleSheetLayoutView="100" workbookViewId="0">
      <pane xSplit="3" ySplit="10" topLeftCell="D92" activePane="bottomRight" state="frozen"/>
      <selection pane="topRight" activeCell="D1" sqref="D1"/>
      <selection pane="bottomLeft" activeCell="A5" sqref="A5"/>
      <selection pane="bottomRight" activeCell="A125" sqref="A125:B127"/>
    </sheetView>
  </sheetViews>
  <sheetFormatPr defaultRowHeight="12.75"/>
  <cols>
    <col min="1" max="1" width="8.42578125" style="973" customWidth="1"/>
    <col min="2" max="2" width="59.28515625" style="973" customWidth="1"/>
    <col min="3" max="3" width="15.42578125" style="973" customWidth="1"/>
    <col min="4" max="4" width="14.28515625" style="973" customWidth="1"/>
    <col min="5" max="6" width="14.28515625" style="974" customWidth="1"/>
    <col min="7" max="8" width="11.42578125" style="974" customWidth="1"/>
    <col min="9" max="10" width="14.28515625" style="974" customWidth="1"/>
    <col min="11" max="11" width="11.42578125" style="974" customWidth="1"/>
    <col min="12" max="13" width="10.28515625" style="974" customWidth="1"/>
    <col min="14" max="14" width="9.7109375" style="974" customWidth="1"/>
    <col min="15" max="15" width="10.28515625" style="974" customWidth="1"/>
    <col min="16" max="18" width="9.140625" style="974"/>
    <col min="19" max="19" width="10.7109375" style="974" customWidth="1"/>
    <col min="20" max="22" width="9.140625" style="974"/>
    <col min="23" max="23" width="10.28515625" style="974" customWidth="1"/>
    <col min="24" max="16384" width="9.140625" style="974"/>
  </cols>
  <sheetData>
    <row r="1" spans="1:138" customFormat="1" ht="22.5" customHeight="1">
      <c r="A1" s="2033"/>
      <c r="R1" s="2034"/>
      <c r="S1" s="2035"/>
      <c r="T1" s="2035"/>
      <c r="Z1" s="2036"/>
      <c r="AA1" s="2037"/>
      <c r="AB1" s="2038"/>
      <c r="AC1" s="2039"/>
      <c r="AD1" s="2037"/>
      <c r="AE1" s="2039"/>
      <c r="AF1" s="2037"/>
      <c r="AG1" s="2037"/>
      <c r="AH1" s="2037"/>
      <c r="AI1" s="2037"/>
      <c r="AJ1" s="2037"/>
      <c r="AK1" s="2037"/>
      <c r="AL1" s="2037"/>
      <c r="AM1" s="2037"/>
      <c r="AN1" s="2037"/>
      <c r="AO1" s="2037"/>
      <c r="AP1" s="2037"/>
      <c r="AQ1" s="2037"/>
      <c r="AR1" s="2037"/>
      <c r="AS1" s="2037"/>
      <c r="AT1" s="2037"/>
      <c r="AU1" s="2037"/>
      <c r="AV1" s="2037"/>
      <c r="AW1" s="2037"/>
      <c r="AX1" s="2040"/>
      <c r="AY1" s="2041"/>
      <c r="AZ1" s="2042"/>
      <c r="BA1" s="2037"/>
      <c r="BB1" s="2043"/>
      <c r="BC1" s="2044"/>
      <c r="BD1" s="2045"/>
      <c r="BG1" s="2046"/>
      <c r="BH1" s="2046"/>
      <c r="BI1" s="2047"/>
      <c r="BJ1" s="2047"/>
      <c r="BK1" s="2037"/>
      <c r="BL1" s="2037"/>
      <c r="BM1" s="2037"/>
      <c r="BN1" s="2037"/>
      <c r="BO1" s="2037"/>
      <c r="BP1" s="2037"/>
      <c r="BQ1" s="2037"/>
      <c r="BR1" s="2037"/>
      <c r="BS1" s="2037"/>
      <c r="BT1" s="2037"/>
      <c r="BU1" s="2037"/>
      <c r="BV1" s="2037"/>
      <c r="BW1" s="2037"/>
      <c r="BX1" s="2037"/>
      <c r="BY1" s="2037"/>
      <c r="BZ1" s="2037"/>
      <c r="CA1" s="2037"/>
      <c r="CB1" s="2037"/>
      <c r="CC1" s="2037"/>
      <c r="CD1" s="2037"/>
      <c r="CE1" s="2037"/>
      <c r="CF1" s="2037"/>
      <c r="CG1" s="2037"/>
      <c r="CH1" s="2037"/>
      <c r="CI1" s="2037"/>
      <c r="CJ1" s="2037"/>
      <c r="CK1" s="2037"/>
      <c r="CL1" s="2037"/>
      <c r="CM1" s="2037"/>
      <c r="CN1" s="2037"/>
      <c r="CO1" s="2037"/>
      <c r="CP1" s="2037"/>
      <c r="CQ1" s="2037"/>
      <c r="CR1" s="2037"/>
      <c r="CS1" s="2037"/>
      <c r="CT1" s="2037"/>
      <c r="CU1" s="2037"/>
      <c r="CV1" s="2037"/>
      <c r="DY1" s="2048"/>
      <c r="EC1" s="1771"/>
      <c r="EE1" s="2049"/>
      <c r="EF1" s="2050"/>
      <c r="EH1" s="2051"/>
    </row>
    <row r="2" spans="1:138" customFormat="1" ht="15.75" customHeight="1">
      <c r="A2" s="2121" t="s">
        <v>346</v>
      </c>
      <c r="B2" s="2121"/>
      <c r="C2" s="2121"/>
      <c r="D2" s="2121"/>
      <c r="E2" s="2121"/>
      <c r="F2" s="2121"/>
      <c r="G2" s="2121"/>
      <c r="H2" s="2121"/>
      <c r="I2" s="2121"/>
      <c r="J2" s="2121"/>
      <c r="K2" s="2121"/>
      <c r="L2" s="2121"/>
      <c r="M2" s="2121"/>
      <c r="N2" s="2121"/>
      <c r="O2" s="2121"/>
      <c r="P2" s="2121"/>
      <c r="Q2" s="2121"/>
      <c r="R2" s="2034"/>
      <c r="S2" s="2035"/>
      <c r="T2" s="2035"/>
      <c r="Z2" s="2036"/>
      <c r="AA2" s="2037"/>
      <c r="AB2" s="2038"/>
      <c r="AC2" s="2039"/>
      <c r="AD2" s="2037"/>
      <c r="AE2" s="2039"/>
      <c r="AF2" s="2037"/>
      <c r="AG2" s="2037"/>
      <c r="AH2" s="2037"/>
      <c r="AI2" s="2037"/>
      <c r="AJ2" s="2037"/>
      <c r="AK2" s="2037"/>
      <c r="AL2" s="2037"/>
      <c r="AM2" s="2037"/>
      <c r="AN2" s="2037"/>
      <c r="AO2" s="2037"/>
      <c r="AP2" s="2037"/>
      <c r="AQ2" s="2037"/>
      <c r="AR2" s="2037"/>
      <c r="AS2" s="2037"/>
      <c r="AT2" s="2037"/>
      <c r="AU2" s="2037"/>
      <c r="AV2" s="2037"/>
      <c r="AW2" s="2037"/>
      <c r="AX2" s="2040"/>
      <c r="AY2" s="2041"/>
      <c r="AZ2" s="2042"/>
      <c r="BA2" s="2037"/>
      <c r="BB2" s="2043"/>
      <c r="BC2" s="2044"/>
      <c r="BD2" s="2045"/>
      <c r="BG2" s="974"/>
      <c r="BH2" s="974"/>
      <c r="BI2" s="2047"/>
      <c r="BJ2" s="2047"/>
      <c r="BK2" s="2037"/>
      <c r="BL2" s="2037"/>
      <c r="BM2" s="2037"/>
      <c r="BN2" s="2037"/>
      <c r="BO2" s="2037"/>
      <c r="BP2" s="2037"/>
      <c r="BQ2" s="2037"/>
      <c r="BR2" s="2037"/>
      <c r="BS2" s="2037"/>
      <c r="BT2" s="2037"/>
      <c r="BU2" s="2037"/>
      <c r="BV2" s="2037"/>
      <c r="BW2" s="2037"/>
      <c r="BX2" s="2037"/>
      <c r="BY2" s="2037"/>
      <c r="BZ2" s="2037"/>
      <c r="CA2" s="2037"/>
      <c r="CB2" s="2037"/>
      <c r="CC2" s="2037"/>
      <c r="CD2" s="2037"/>
      <c r="CE2" s="2037"/>
      <c r="CF2" s="2037"/>
      <c r="CG2" s="2037"/>
      <c r="CH2" s="2037"/>
      <c r="CI2" s="2037"/>
      <c r="CJ2" s="2037"/>
      <c r="CK2" s="2037"/>
      <c r="CL2" s="2037"/>
      <c r="CM2" s="2037"/>
      <c r="CN2" s="2037"/>
      <c r="CO2" s="2037"/>
      <c r="CP2" s="2037"/>
      <c r="CQ2" s="2037"/>
      <c r="CR2" s="2037"/>
      <c r="CS2" s="2037"/>
      <c r="CT2" s="2037"/>
      <c r="CU2" s="2037"/>
      <c r="CV2" s="2037"/>
      <c r="DY2" s="2048"/>
      <c r="EC2" s="1771"/>
      <c r="EE2" s="2049"/>
      <c r="EF2" s="2050"/>
      <c r="EH2" s="2051"/>
    </row>
    <row r="3" spans="1:138" customFormat="1" ht="13.5" customHeight="1">
      <c r="A3" s="2122" t="s">
        <v>345</v>
      </c>
      <c r="B3" s="2122"/>
      <c r="C3" s="2122"/>
      <c r="D3" s="2122"/>
      <c r="E3" s="2122"/>
      <c r="F3" s="2122"/>
      <c r="G3" s="2122"/>
      <c r="H3" s="2122"/>
      <c r="I3" s="2122"/>
      <c r="J3" s="2122"/>
      <c r="K3" s="2122"/>
      <c r="L3" s="2122"/>
      <c r="M3" s="2122"/>
      <c r="N3" s="2034"/>
      <c r="O3" s="2034"/>
      <c r="P3" s="2034"/>
      <c r="Q3" s="2034"/>
      <c r="R3" s="2034"/>
      <c r="S3" s="2035"/>
      <c r="T3" s="2035"/>
      <c r="Z3" s="2036"/>
      <c r="AA3" s="2037"/>
      <c r="AB3" s="2038"/>
      <c r="AC3" s="2039"/>
      <c r="AD3" s="2037"/>
      <c r="AE3" s="2039"/>
      <c r="AF3" s="2037"/>
      <c r="AG3" s="2037"/>
      <c r="AH3" s="2037"/>
      <c r="AI3" s="2037"/>
      <c r="AJ3" s="2037"/>
      <c r="AK3" s="2037"/>
      <c r="AL3" s="2037"/>
      <c r="AM3" s="2037"/>
      <c r="AN3" s="2037"/>
      <c r="AO3" s="2037"/>
      <c r="AP3" s="2037"/>
      <c r="AQ3" s="2037"/>
      <c r="AR3" s="2037"/>
      <c r="AS3" s="2037"/>
      <c r="AT3" s="2037"/>
      <c r="AU3" s="2037"/>
      <c r="AV3" s="2037"/>
      <c r="AW3" s="2037"/>
      <c r="AX3" s="2040"/>
      <c r="AY3" s="2041"/>
      <c r="AZ3" s="2042"/>
      <c r="BA3" s="2037"/>
      <c r="BB3" s="2052"/>
      <c r="BC3" s="2053"/>
      <c r="BD3" s="2054"/>
      <c r="BG3" s="974"/>
      <c r="BH3" s="974"/>
      <c r="BI3" s="2055"/>
      <c r="BJ3" s="2055"/>
      <c r="BK3" s="2037"/>
      <c r="BL3" s="2037"/>
      <c r="BM3" s="2037"/>
      <c r="BN3" s="2037"/>
      <c r="BO3" s="2037"/>
      <c r="BP3" s="2037"/>
      <c r="BQ3" s="2037"/>
      <c r="BR3" s="2037"/>
      <c r="BS3" s="2037"/>
      <c r="BT3" s="2037"/>
      <c r="BU3" s="2037"/>
      <c r="BV3" s="2037"/>
      <c r="BW3" s="2037"/>
      <c r="BX3" s="2037"/>
      <c r="BY3" s="2037"/>
      <c r="BZ3" s="2037"/>
      <c r="CA3" s="2037"/>
      <c r="CB3" s="2037"/>
      <c r="CC3" s="2037"/>
      <c r="CD3" s="2037"/>
      <c r="CE3" s="2037"/>
      <c r="CF3" s="2037"/>
      <c r="CG3" s="2037"/>
      <c r="CH3" s="2037"/>
      <c r="CI3" s="2037"/>
      <c r="CJ3" s="2037"/>
      <c r="CK3" s="2037"/>
      <c r="CL3" s="2037"/>
      <c r="CM3" s="2037"/>
      <c r="CN3" s="2037"/>
      <c r="CO3" s="2037"/>
      <c r="CP3" s="2037"/>
      <c r="CQ3" s="2037"/>
      <c r="CR3" s="2037"/>
      <c r="CS3" s="2037"/>
      <c r="CT3" s="2037"/>
      <c r="CU3" s="2037"/>
      <c r="CV3" s="2037"/>
      <c r="DY3" s="2048"/>
      <c r="EC3" s="1771"/>
      <c r="EE3" s="2049"/>
      <c r="EF3" s="2050"/>
      <c r="EH3" s="2051"/>
    </row>
    <row r="4" spans="1:138" customFormat="1" ht="19.5" customHeight="1">
      <c r="A4" s="2034"/>
      <c r="B4" s="2034"/>
      <c r="C4" s="2034"/>
      <c r="D4" s="2034"/>
      <c r="E4" s="2034"/>
      <c r="F4" s="2034"/>
      <c r="G4" s="2034"/>
      <c r="H4" s="2034"/>
      <c r="I4" s="2034"/>
      <c r="J4" s="2034"/>
      <c r="K4" s="2034"/>
      <c r="L4" s="2034"/>
      <c r="M4" s="2034"/>
      <c r="N4" s="2034"/>
      <c r="O4" s="2034"/>
      <c r="P4" s="2034"/>
      <c r="Q4" s="2034"/>
      <c r="R4" s="2034"/>
      <c r="S4" s="2035"/>
      <c r="T4" s="2035"/>
      <c r="Z4" s="2036"/>
      <c r="AA4" s="2037"/>
      <c r="AB4" s="2038"/>
      <c r="AC4" s="2039"/>
      <c r="AD4" s="2037"/>
      <c r="AE4" s="2039"/>
      <c r="AF4" s="2037"/>
      <c r="AG4" s="2037"/>
      <c r="AH4" s="2037"/>
      <c r="AI4" s="2037"/>
      <c r="AJ4" s="2037"/>
      <c r="AK4" s="2037"/>
      <c r="AL4" s="2037"/>
      <c r="AM4" s="2037"/>
      <c r="AN4" s="2037"/>
      <c r="AO4" s="2037"/>
      <c r="AP4" s="2037"/>
      <c r="AQ4" s="2037"/>
      <c r="AR4" s="2037"/>
      <c r="AS4" s="2037"/>
      <c r="AT4" s="2037"/>
      <c r="AU4" s="2037"/>
      <c r="AV4" s="2037"/>
      <c r="AW4" s="2037"/>
      <c r="AX4" s="2040"/>
      <c r="AY4" s="2041"/>
      <c r="AZ4" s="2042"/>
      <c r="BA4" s="2037"/>
      <c r="BB4" s="2052"/>
      <c r="BC4" s="2053"/>
      <c r="BD4" s="2054"/>
      <c r="BG4" s="974"/>
      <c r="BH4" s="974"/>
      <c r="BI4" s="2055"/>
      <c r="BJ4" s="2055"/>
      <c r="BK4" s="2037"/>
      <c r="BL4" s="2037"/>
      <c r="BM4" s="2037"/>
      <c r="BN4" s="2037"/>
      <c r="BO4" s="2037"/>
      <c r="BP4" s="2037"/>
      <c r="BQ4" s="2037"/>
      <c r="BR4" s="2037"/>
      <c r="BS4" s="2037"/>
      <c r="BT4" s="2037"/>
      <c r="BU4" s="2037"/>
      <c r="BV4" s="2037"/>
      <c r="BW4" s="2037"/>
      <c r="BX4" s="2037"/>
      <c r="BY4" s="2037"/>
      <c r="BZ4" s="2037"/>
      <c r="CA4" s="2037"/>
      <c r="CB4" s="2037"/>
      <c r="CC4" s="2037"/>
      <c r="CD4" s="2037"/>
      <c r="CE4" s="2037"/>
      <c r="CF4" s="2037"/>
      <c r="CG4" s="2037"/>
      <c r="CH4" s="2037"/>
      <c r="CI4" s="2037"/>
      <c r="CJ4" s="2037"/>
      <c r="CK4" s="2037"/>
      <c r="CL4" s="2037"/>
      <c r="CM4" s="2037"/>
      <c r="CN4" s="2037"/>
      <c r="CO4" s="2037"/>
      <c r="CP4" s="2037"/>
      <c r="CQ4" s="2037"/>
      <c r="CR4" s="2037"/>
      <c r="CS4" s="2037"/>
      <c r="CT4" s="2037"/>
      <c r="CU4" s="2037"/>
      <c r="CV4" s="2037"/>
      <c r="DY4" s="2048"/>
      <c r="EC4" s="1771"/>
      <c r="EE4" s="2049"/>
      <c r="EF4" s="2050"/>
      <c r="EH4" s="2051"/>
    </row>
    <row r="5" spans="1:138" customFormat="1" ht="19.5" customHeight="1">
      <c r="A5" s="2034"/>
      <c r="B5" s="2034"/>
      <c r="C5" s="2034"/>
      <c r="D5" s="2034"/>
      <c r="E5" s="2034"/>
      <c r="F5" s="2034"/>
      <c r="G5" s="2034"/>
      <c r="H5" s="2034"/>
      <c r="I5" s="2034"/>
      <c r="J5" s="2034"/>
      <c r="K5" s="2034"/>
      <c r="L5" s="2034"/>
      <c r="M5" s="2034"/>
      <c r="N5" s="2034"/>
      <c r="O5" s="2034"/>
      <c r="P5" s="2034"/>
      <c r="Q5" s="2034"/>
      <c r="R5" s="2034"/>
      <c r="S5" s="2035"/>
      <c r="T5" s="2035"/>
      <c r="Z5" s="2036"/>
      <c r="AA5" s="2037"/>
      <c r="AB5" s="2038"/>
      <c r="AC5" s="2039"/>
      <c r="AD5" s="2037"/>
      <c r="AE5" s="2039"/>
      <c r="AF5" s="2037"/>
      <c r="AG5" s="2037"/>
      <c r="AH5" s="2037"/>
      <c r="AI5" s="2037"/>
      <c r="AJ5" s="2037"/>
      <c r="AK5" s="2037"/>
      <c r="AL5" s="2037"/>
      <c r="AM5" s="2037"/>
      <c r="AN5" s="2037"/>
      <c r="AO5" s="2037"/>
      <c r="AP5" s="2037"/>
      <c r="AQ5" s="2037"/>
      <c r="AR5" s="2037"/>
      <c r="AS5" s="2037"/>
      <c r="AT5" s="2037"/>
      <c r="AU5" s="2037"/>
      <c r="AV5" s="2037"/>
      <c r="AW5" s="2037"/>
      <c r="AX5" s="2040"/>
      <c r="AY5" s="2041"/>
      <c r="AZ5" s="2042"/>
      <c r="BA5" s="2037"/>
      <c r="BB5" s="2052"/>
      <c r="BC5" s="2053"/>
      <c r="BD5" s="2054"/>
      <c r="BG5" s="974"/>
      <c r="BH5" s="974"/>
      <c r="BI5" s="2055"/>
      <c r="BJ5" s="2055"/>
      <c r="BK5" s="2037"/>
      <c r="BL5" s="2037"/>
      <c r="BM5" s="2037"/>
      <c r="BN5" s="2037"/>
      <c r="BO5" s="2037"/>
      <c r="BP5" s="2037"/>
      <c r="BQ5" s="2037"/>
      <c r="BR5" s="2037"/>
      <c r="BS5" s="2037"/>
      <c r="BT5" s="2037"/>
      <c r="BU5" s="2037"/>
      <c r="BV5" s="2037"/>
      <c r="BW5" s="2037"/>
      <c r="BX5" s="2037"/>
      <c r="BY5" s="2037"/>
      <c r="BZ5" s="2037"/>
      <c r="CA5" s="2037"/>
      <c r="CB5" s="2037"/>
      <c r="CC5" s="2037"/>
      <c r="CD5" s="2037"/>
      <c r="CE5" s="2037"/>
      <c r="CF5" s="2037"/>
      <c r="CG5" s="2037"/>
      <c r="CH5" s="2037"/>
      <c r="CI5" s="2037"/>
      <c r="CJ5" s="2037"/>
      <c r="CK5" s="2037"/>
      <c r="CL5" s="2037"/>
      <c r="CM5" s="2037"/>
      <c r="CN5" s="2037"/>
      <c r="CO5" s="2037"/>
      <c r="CP5" s="2037"/>
      <c r="CQ5" s="2037"/>
      <c r="CR5" s="2037"/>
      <c r="CS5" s="2037"/>
      <c r="CT5" s="2037"/>
      <c r="CU5" s="2037"/>
      <c r="CV5" s="2037"/>
      <c r="DY5" s="2048"/>
      <c r="EC5" s="1771"/>
      <c r="EE5" s="2049"/>
      <c r="EF5" s="2050"/>
      <c r="EH5" s="2051"/>
    </row>
    <row r="6" spans="1:138" ht="18.75">
      <c r="I6" s="2124" t="s">
        <v>325</v>
      </c>
      <c r="J6" s="2124"/>
      <c r="K6" s="2124"/>
    </row>
    <row r="7" spans="1:138" ht="18.75">
      <c r="A7" s="2126" t="s">
        <v>277</v>
      </c>
      <c r="B7" s="2126"/>
      <c r="C7" s="2126"/>
      <c r="D7" s="2126"/>
      <c r="E7" s="2126"/>
      <c r="F7" s="2126"/>
      <c r="G7" s="2126"/>
      <c r="H7" s="2126"/>
      <c r="I7" s="2126"/>
      <c r="J7" s="2126"/>
      <c r="K7" s="2126"/>
    </row>
    <row r="8" spans="1:138" ht="18.75" thickBot="1">
      <c r="A8" s="975"/>
      <c r="B8" s="976"/>
      <c r="D8" s="977">
        <v>31</v>
      </c>
      <c r="E8" s="977">
        <v>31</v>
      </c>
      <c r="F8" s="977">
        <v>31</v>
      </c>
      <c r="G8" s="978"/>
      <c r="H8" s="979"/>
      <c r="I8" s="980">
        <v>28</v>
      </c>
      <c r="J8" s="980">
        <v>28</v>
      </c>
      <c r="M8" s="981"/>
    </row>
    <row r="9" spans="1:138" s="982" customFormat="1" ht="17.25" customHeight="1" thickBot="1">
      <c r="A9" s="2127" t="s">
        <v>137</v>
      </c>
      <c r="B9" s="2127"/>
      <c r="C9" s="2127" t="s">
        <v>138</v>
      </c>
      <c r="D9" s="2127" t="s">
        <v>278</v>
      </c>
      <c r="E9" s="2127"/>
      <c r="F9" s="2127"/>
      <c r="G9" s="2127"/>
      <c r="H9" s="2127"/>
      <c r="I9" s="2128" t="s">
        <v>279</v>
      </c>
      <c r="J9" s="2128"/>
      <c r="K9" s="2128"/>
    </row>
    <row r="10" spans="1:138" s="982" customFormat="1" ht="41.25" customHeight="1" thickBot="1">
      <c r="A10" s="2127"/>
      <c r="B10" s="2127"/>
      <c r="C10" s="2127"/>
      <c r="D10" s="983" t="s">
        <v>295</v>
      </c>
      <c r="E10" s="984" t="s">
        <v>139</v>
      </c>
      <c r="F10" s="985" t="s">
        <v>297</v>
      </c>
      <c r="G10" s="985" t="s">
        <v>296</v>
      </c>
      <c r="H10" s="986" t="s">
        <v>298</v>
      </c>
      <c r="I10" s="987" t="s">
        <v>295</v>
      </c>
      <c r="J10" s="988" t="s">
        <v>140</v>
      </c>
      <c r="K10" s="989" t="s">
        <v>296</v>
      </c>
    </row>
    <row r="11" spans="1:138" s="982" customFormat="1" ht="12.75" customHeight="1">
      <c r="A11" s="2125" t="s">
        <v>141</v>
      </c>
      <c r="B11" s="2125"/>
      <c r="C11" s="1956" t="s">
        <v>142</v>
      </c>
      <c r="D11" s="991">
        <v>8165</v>
      </c>
      <c r="E11" s="992">
        <v>8307</v>
      </c>
      <c r="F11" s="992">
        <v>8307</v>
      </c>
      <c r="G11" s="992">
        <f>IF(D11="","",F11-D11)</f>
        <v>142</v>
      </c>
      <c r="H11" s="993">
        <f>IF(E11="","",F11-E11)</f>
        <v>0</v>
      </c>
      <c r="I11" s="991">
        <f>D154</f>
        <v>8189.5806451612907</v>
      </c>
      <c r="J11" s="994">
        <f>F154</f>
        <v>8365</v>
      </c>
      <c r="K11" s="995">
        <f>IF(I11="","",J11-I11)</f>
        <v>175.4193548387093</v>
      </c>
    </row>
    <row r="12" spans="1:138" s="982" customFormat="1" ht="12.75" customHeight="1">
      <c r="A12" s="2123" t="s">
        <v>331</v>
      </c>
      <c r="B12" s="2123"/>
      <c r="C12" s="1972" t="s">
        <v>142</v>
      </c>
      <c r="D12" s="2022"/>
      <c r="E12" s="2023"/>
      <c r="F12" s="2023"/>
      <c r="G12" s="2023" t="str">
        <f t="shared" ref="G12" si="0">IF(D12="","",F12-D12)</f>
        <v/>
      </c>
      <c r="H12" s="1964" t="str">
        <f t="shared" ref="H12" si="1">IF(E12="","",F12-E12)</f>
        <v/>
      </c>
      <c r="I12" s="2024"/>
      <c r="J12" s="2023"/>
      <c r="K12" s="2025" t="str">
        <f t="shared" ref="K12:K74" si="2">IF(I12="","",J12-I12)</f>
        <v/>
      </c>
      <c r="L12" s="1002"/>
      <c r="M12" s="1005"/>
      <c r="N12" s="1003"/>
      <c r="U12" s="1004"/>
      <c r="V12" s="1005"/>
      <c r="W12" s="1005"/>
      <c r="X12" s="1005"/>
    </row>
    <row r="13" spans="1:138" s="982" customFormat="1" ht="12.75" customHeight="1">
      <c r="A13" s="2129" t="s">
        <v>143</v>
      </c>
      <c r="B13" s="2129"/>
      <c r="C13" s="996" t="s">
        <v>142</v>
      </c>
      <c r="D13" s="997">
        <f>D14+D15</f>
        <v>171</v>
      </c>
      <c r="E13" s="998">
        <f>E14+E15</f>
        <v>232</v>
      </c>
      <c r="F13" s="998">
        <f>F14+F15</f>
        <v>188</v>
      </c>
      <c r="G13" s="998">
        <f t="shared" ref="G13:G74" si="3">IF(D13="","",F13-D13)</f>
        <v>17</v>
      </c>
      <c r="H13" s="999">
        <f t="shared" ref="H13:H74" si="4">IF(E13="","",F13-E13)</f>
        <v>-44</v>
      </c>
      <c r="I13" s="1000">
        <f>I14+I15</f>
        <v>168</v>
      </c>
      <c r="J13" s="998">
        <f>J14+J15</f>
        <v>210</v>
      </c>
      <c r="K13" s="1001">
        <f t="shared" si="2"/>
        <v>42</v>
      </c>
      <c r="L13" s="1002"/>
      <c r="M13" s="1005"/>
      <c r="N13" s="1003"/>
      <c r="U13" s="1004"/>
      <c r="V13" s="1005"/>
      <c r="W13" s="1005"/>
      <c r="X13" s="1005"/>
    </row>
    <row r="14" spans="1:138" s="982" customFormat="1" ht="12.75" customHeight="1">
      <c r="A14" s="2077" t="s">
        <v>144</v>
      </c>
      <c r="B14" s="2077"/>
      <c r="C14" s="1961" t="s">
        <v>142</v>
      </c>
      <c r="D14" s="1962">
        <v>152</v>
      </c>
      <c r="E14" s="1963">
        <v>196</v>
      </c>
      <c r="F14" s="1963">
        <v>177</v>
      </c>
      <c r="G14" s="1963">
        <f t="shared" si="3"/>
        <v>25</v>
      </c>
      <c r="H14" s="1964">
        <f t="shared" si="4"/>
        <v>-19</v>
      </c>
      <c r="I14" s="1965">
        <v>145</v>
      </c>
      <c r="J14" s="1963">
        <v>177</v>
      </c>
      <c r="K14" s="1966">
        <f t="shared" si="2"/>
        <v>32</v>
      </c>
      <c r="L14" s="1009"/>
      <c r="M14" s="1005"/>
      <c r="U14" s="1005"/>
      <c r="V14" s="1005"/>
      <c r="W14" s="1005"/>
      <c r="X14" s="1005"/>
    </row>
    <row r="15" spans="1:138" s="982" customFormat="1" ht="12.75" customHeight="1">
      <c r="A15" s="2077" t="s">
        <v>308</v>
      </c>
      <c r="B15" s="2077"/>
      <c r="C15" s="1961" t="s">
        <v>142</v>
      </c>
      <c r="D15" s="1962">
        <v>19</v>
      </c>
      <c r="E15" s="1963">
        <v>36</v>
      </c>
      <c r="F15" s="1963">
        <v>11</v>
      </c>
      <c r="G15" s="1963">
        <f t="shared" si="3"/>
        <v>-8</v>
      </c>
      <c r="H15" s="1964">
        <f t="shared" si="4"/>
        <v>-25</v>
      </c>
      <c r="I15" s="1965">
        <v>23</v>
      </c>
      <c r="J15" s="1963">
        <v>33</v>
      </c>
      <c r="K15" s="1966">
        <f t="shared" si="2"/>
        <v>10</v>
      </c>
      <c r="M15" s="1005"/>
      <c r="N15" s="1789"/>
      <c r="U15" s="1005"/>
      <c r="V15" s="1005"/>
      <c r="W15" s="1005"/>
      <c r="X15" s="1005"/>
    </row>
    <row r="16" spans="1:138" s="982" customFormat="1" ht="12.75" customHeight="1">
      <c r="A16" s="2077" t="s">
        <v>332</v>
      </c>
      <c r="B16" s="2077"/>
      <c r="C16" s="1961" t="s">
        <v>142</v>
      </c>
      <c r="D16" s="1962">
        <v>100</v>
      </c>
      <c r="E16" s="1963">
        <v>132</v>
      </c>
      <c r="F16" s="1963">
        <v>100</v>
      </c>
      <c r="G16" s="1963">
        <f t="shared" ref="G16:G17" si="5">IF(D16="","",F16-D16)</f>
        <v>0</v>
      </c>
      <c r="H16" s="1964">
        <f t="shared" ref="H16:H17" si="6">IF(E16="","",F16-E16)</f>
        <v>-32</v>
      </c>
      <c r="I16" s="1965">
        <v>100</v>
      </c>
      <c r="J16" s="1963">
        <v>130</v>
      </c>
      <c r="K16" s="1966">
        <f t="shared" si="2"/>
        <v>30</v>
      </c>
      <c r="M16" s="1005"/>
      <c r="N16" s="1789"/>
      <c r="U16" s="1005"/>
      <c r="V16" s="1005"/>
      <c r="W16" s="1005"/>
      <c r="X16" s="1005"/>
    </row>
    <row r="17" spans="1:44" s="982" customFormat="1" ht="12.75" customHeight="1">
      <c r="A17" s="2077" t="s">
        <v>333</v>
      </c>
      <c r="B17" s="2077"/>
      <c r="C17" s="1961" t="s">
        <v>142</v>
      </c>
      <c r="D17" s="1962">
        <v>71</v>
      </c>
      <c r="E17" s="1963">
        <v>100</v>
      </c>
      <c r="F17" s="1963">
        <v>88</v>
      </c>
      <c r="G17" s="1963">
        <f t="shared" si="5"/>
        <v>17</v>
      </c>
      <c r="H17" s="1964">
        <f t="shared" si="6"/>
        <v>-12</v>
      </c>
      <c r="I17" s="1965">
        <v>68</v>
      </c>
      <c r="J17" s="1963">
        <v>80</v>
      </c>
      <c r="K17" s="1966">
        <f t="shared" si="2"/>
        <v>12</v>
      </c>
      <c r="M17" s="1005"/>
      <c r="N17" s="1789"/>
      <c r="U17" s="1005"/>
      <c r="V17" s="1005"/>
      <c r="W17" s="1005"/>
      <c r="X17" s="1005"/>
    </row>
    <row r="18" spans="1:44" s="982" customFormat="1" ht="12.75" customHeight="1" thickBot="1">
      <c r="A18" s="2092" t="s">
        <v>317</v>
      </c>
      <c r="B18" s="2092"/>
      <c r="C18" s="1006" t="s">
        <v>321</v>
      </c>
      <c r="D18" s="1959">
        <f>D13*16</f>
        <v>2736</v>
      </c>
      <c r="E18" s="1007">
        <f>E13*16</f>
        <v>3712</v>
      </c>
      <c r="F18" s="1007">
        <f>F13*16</f>
        <v>3008</v>
      </c>
      <c r="G18" s="1007">
        <f t="shared" si="3"/>
        <v>272</v>
      </c>
      <c r="H18" s="999">
        <f t="shared" si="4"/>
        <v>-704</v>
      </c>
      <c r="I18" s="1008">
        <f>I13*15.5</f>
        <v>2604</v>
      </c>
      <c r="J18" s="1007">
        <f>'Сетевой график (план)'!AI62+'Сетевой график (план)'!AI63</f>
        <v>3045</v>
      </c>
      <c r="K18" s="1960">
        <f t="shared" si="2"/>
        <v>441</v>
      </c>
      <c r="M18" s="1005"/>
      <c r="N18" s="1789"/>
      <c r="U18" s="1005"/>
      <c r="V18" s="1005"/>
      <c r="W18" s="1005"/>
      <c r="X18" s="1005"/>
    </row>
    <row r="19" spans="1:44" s="982" customFormat="1" ht="12.75" customHeight="1" thickBot="1">
      <c r="A19" s="2130" t="s">
        <v>322</v>
      </c>
      <c r="B19" s="2131"/>
      <c r="C19" s="1013" t="s">
        <v>2</v>
      </c>
      <c r="D19" s="1014">
        <f t="shared" ref="D19:F20" si="7">D23+D51</f>
        <v>1</v>
      </c>
      <c r="E19" s="1015">
        <f t="shared" si="7"/>
        <v>4</v>
      </c>
      <c r="F19" s="1015">
        <f t="shared" si="7"/>
        <v>4</v>
      </c>
      <c r="G19" s="1015">
        <f t="shared" si="3"/>
        <v>3</v>
      </c>
      <c r="H19" s="1016">
        <f t="shared" si="4"/>
        <v>0</v>
      </c>
      <c r="I19" s="1017">
        <f>I23+I51</f>
        <v>2</v>
      </c>
      <c r="J19" s="1015">
        <f>J23+J51</f>
        <v>6</v>
      </c>
      <c r="K19" s="1018">
        <f t="shared" si="2"/>
        <v>4</v>
      </c>
    </row>
    <row r="20" spans="1:44" s="982" customFormat="1" ht="12.75" customHeight="1" thickBot="1">
      <c r="A20" s="2131"/>
      <c r="B20" s="2131"/>
      <c r="C20" s="996" t="s">
        <v>142</v>
      </c>
      <c r="D20" s="1019">
        <f t="shared" si="7"/>
        <v>72.5</v>
      </c>
      <c r="E20" s="1020">
        <f t="shared" si="7"/>
        <v>191.2</v>
      </c>
      <c r="F20" s="1020">
        <f t="shared" si="7"/>
        <v>198</v>
      </c>
      <c r="G20" s="1020">
        <f t="shared" si="3"/>
        <v>125.5</v>
      </c>
      <c r="H20" s="1021">
        <f t="shared" si="4"/>
        <v>6.8000000000000114</v>
      </c>
      <c r="I20" s="1022">
        <f>I24+I52</f>
        <v>89.1</v>
      </c>
      <c r="J20" s="1020">
        <f>J24+J52</f>
        <v>188.5</v>
      </c>
      <c r="K20" s="1023">
        <f t="shared" si="2"/>
        <v>99.4</v>
      </c>
      <c r="M20" s="1009"/>
      <c r="N20" s="1024"/>
      <c r="U20" s="1009"/>
      <c r="V20" s="1009"/>
    </row>
    <row r="21" spans="1:44" s="982" customFormat="1" ht="12.75" customHeight="1" thickBot="1">
      <c r="A21" s="2131"/>
      <c r="B21" s="2131"/>
      <c r="C21" s="1006" t="s">
        <v>145</v>
      </c>
      <c r="D21" s="1019">
        <f>D20/D19</f>
        <v>72.5</v>
      </c>
      <c r="E21" s="1020">
        <f>E20/E19</f>
        <v>47.8</v>
      </c>
      <c r="F21" s="1020">
        <f>F20/F19</f>
        <v>49.5</v>
      </c>
      <c r="G21" s="1020">
        <f t="shared" si="3"/>
        <v>-23</v>
      </c>
      <c r="H21" s="1021">
        <f t="shared" si="4"/>
        <v>1.7000000000000028</v>
      </c>
      <c r="I21" s="1022">
        <f>I20/I19</f>
        <v>44.55</v>
      </c>
      <c r="J21" s="1020">
        <f>J20/J19</f>
        <v>31.416666666666668</v>
      </c>
      <c r="K21" s="1023">
        <f t="shared" si="2"/>
        <v>-13.133333333333329</v>
      </c>
      <c r="M21" s="1009"/>
      <c r="X21" s="1005"/>
    </row>
    <row r="22" spans="1:44" s="982" customFormat="1" ht="13.5" customHeight="1" thickBot="1">
      <c r="A22" s="2131"/>
      <c r="B22" s="2131"/>
      <c r="C22" s="1010" t="s">
        <v>321</v>
      </c>
      <c r="D22" s="1025">
        <f>D26+D54</f>
        <v>1293</v>
      </c>
      <c r="E22" s="1026">
        <f>E26+E54</f>
        <v>2132</v>
      </c>
      <c r="F22" s="1026">
        <f>F26+F54</f>
        <v>2381</v>
      </c>
      <c r="G22" s="1026">
        <f t="shared" si="3"/>
        <v>1088</v>
      </c>
      <c r="H22" s="1027">
        <f t="shared" si="4"/>
        <v>249</v>
      </c>
      <c r="I22" s="1791">
        <f>I26+I54</f>
        <v>1891</v>
      </c>
      <c r="J22" s="1792">
        <f>J26+J54</f>
        <v>2180</v>
      </c>
      <c r="K22" s="1793">
        <f t="shared" si="2"/>
        <v>289</v>
      </c>
      <c r="L22" s="1009"/>
      <c r="M22" s="1029"/>
      <c r="X22" s="1005"/>
    </row>
    <row r="23" spans="1:44" s="982" customFormat="1" ht="12.75" customHeight="1" thickBot="1">
      <c r="A23" s="2104" t="s">
        <v>285</v>
      </c>
      <c r="B23" s="2104"/>
      <c r="C23" s="990" t="s">
        <v>2</v>
      </c>
      <c r="D23" s="1030">
        <f t="shared" ref="D23:F24" si="8">D27+D31+D35+D39+D43+D47</f>
        <v>1</v>
      </c>
      <c r="E23" s="1030">
        <f t="shared" si="8"/>
        <v>2</v>
      </c>
      <c r="F23" s="1030">
        <f t="shared" si="8"/>
        <v>2</v>
      </c>
      <c r="G23" s="1030">
        <f t="shared" si="3"/>
        <v>1</v>
      </c>
      <c r="H23" s="1031">
        <f t="shared" si="4"/>
        <v>0</v>
      </c>
      <c r="I23" s="1794">
        <f>I27+I31+I35+I39+I43</f>
        <v>2</v>
      </c>
      <c r="J23" s="1795">
        <f>J27+J31+J35+J39+J43+J47</f>
        <v>2</v>
      </c>
      <c r="K23" s="1796">
        <f t="shared" si="2"/>
        <v>0</v>
      </c>
      <c r="X23" s="1005"/>
    </row>
    <row r="24" spans="1:44" s="982" customFormat="1" ht="12.75" customHeight="1" thickBot="1">
      <c r="A24" s="2104"/>
      <c r="B24" s="2104"/>
      <c r="C24" s="996" t="s">
        <v>142</v>
      </c>
      <c r="D24" s="1032">
        <f t="shared" si="8"/>
        <v>72.5</v>
      </c>
      <c r="E24" s="1032">
        <f t="shared" si="8"/>
        <v>162</v>
      </c>
      <c r="F24" s="1033">
        <f t="shared" si="8"/>
        <v>155</v>
      </c>
      <c r="G24" s="1033">
        <f t="shared" si="3"/>
        <v>82.5</v>
      </c>
      <c r="H24" s="1034">
        <f t="shared" si="4"/>
        <v>-7</v>
      </c>
      <c r="I24" s="1797">
        <f>I28+I32+I36+I40+I44</f>
        <v>89.1</v>
      </c>
      <c r="J24" s="1032">
        <f>J28+J32+J36+J40+J44+J48</f>
        <v>131.5</v>
      </c>
      <c r="K24" s="1798">
        <f t="shared" si="2"/>
        <v>42.400000000000006</v>
      </c>
    </row>
    <row r="25" spans="1:44" s="982" customFormat="1" ht="12.75" customHeight="1" thickBot="1">
      <c r="A25" s="2104"/>
      <c r="B25" s="2104"/>
      <c r="C25" s="1006" t="s">
        <v>145</v>
      </c>
      <c r="D25" s="1036">
        <f>D24/D23</f>
        <v>72.5</v>
      </c>
      <c r="E25" s="1036">
        <f>E24/E23</f>
        <v>81</v>
      </c>
      <c r="F25" s="1036">
        <f>F24/F23</f>
        <v>77.5</v>
      </c>
      <c r="G25" s="1037">
        <f t="shared" si="3"/>
        <v>5</v>
      </c>
      <c r="H25" s="1034">
        <f t="shared" si="4"/>
        <v>-3.5</v>
      </c>
      <c r="I25" s="1799">
        <f>I24/I23</f>
        <v>44.55</v>
      </c>
      <c r="J25" s="1036">
        <f>J24/J23</f>
        <v>65.75</v>
      </c>
      <c r="K25" s="1800">
        <f t="shared" si="2"/>
        <v>21.200000000000003</v>
      </c>
    </row>
    <row r="26" spans="1:44" s="982" customFormat="1" ht="12.75" customHeight="1">
      <c r="A26" s="2104"/>
      <c r="B26" s="2104"/>
      <c r="C26" s="1038" t="s">
        <v>321</v>
      </c>
      <c r="D26" s="1039">
        <f>D30+D34+D38+D42+D46+D50</f>
        <v>1293</v>
      </c>
      <c r="E26" s="1039">
        <f>E30+E34+E38+E42+E46+E50</f>
        <v>1768</v>
      </c>
      <c r="F26" s="1040">
        <f>F30+F34+F38+F42+F46+F50</f>
        <v>1834</v>
      </c>
      <c r="G26" s="1040">
        <f t="shared" si="3"/>
        <v>541</v>
      </c>
      <c r="H26" s="1041">
        <f t="shared" si="4"/>
        <v>66</v>
      </c>
      <c r="I26" s="1801">
        <f>I30+I34+I38+I42+I46</f>
        <v>1891</v>
      </c>
      <c r="J26" s="1039">
        <f>J30+J34+J38+J42+J46+J50</f>
        <v>1194</v>
      </c>
      <c r="K26" s="1802">
        <f t="shared" si="2"/>
        <v>-697</v>
      </c>
    </row>
    <row r="27" spans="1:44" s="982" customFormat="1" ht="12.75" customHeight="1">
      <c r="A27" s="2120" t="s">
        <v>289</v>
      </c>
      <c r="B27" s="2120"/>
      <c r="C27" s="1043" t="s">
        <v>2</v>
      </c>
      <c r="D27" s="1044">
        <v>1</v>
      </c>
      <c r="E27" s="1045">
        <f>Мероприятия_отчет!B14</f>
        <v>2</v>
      </c>
      <c r="F27" s="1045">
        <f>COUNT(Мероприятия_отчет!$AP$8:$AP$12)</f>
        <v>2</v>
      </c>
      <c r="G27" s="1045">
        <f t="shared" si="3"/>
        <v>1</v>
      </c>
      <c r="H27" s="1046">
        <f t="shared" si="4"/>
        <v>0</v>
      </c>
      <c r="I27" s="1803">
        <v>1</v>
      </c>
      <c r="J27" s="1045">
        <f>COUNT(Мероприятия_план!H8:H11)</f>
        <v>1</v>
      </c>
      <c r="K27" s="1804">
        <f t="shared" si="2"/>
        <v>0</v>
      </c>
      <c r="M27" s="1048"/>
      <c r="N27" s="1049"/>
      <c r="O27" s="1049"/>
      <c r="P27" s="1049"/>
      <c r="Q27" s="1049"/>
      <c r="R27" s="1049"/>
      <c r="S27" s="1049"/>
      <c r="T27" s="1049"/>
      <c r="U27" s="1049"/>
      <c r="V27" s="1049"/>
      <c r="W27" s="1049"/>
      <c r="X27" s="1049"/>
      <c r="Y27" s="1049"/>
      <c r="Z27" s="1049"/>
      <c r="AA27" s="1049"/>
      <c r="AB27" s="1049"/>
      <c r="AC27" s="1049"/>
      <c r="AD27" s="1049"/>
      <c r="AE27" s="1049"/>
      <c r="AF27" s="1049"/>
      <c r="AG27" s="1049"/>
      <c r="AH27" s="1049"/>
      <c r="AI27" s="1049"/>
      <c r="AJ27" s="1049"/>
      <c r="AK27" s="1049"/>
      <c r="AL27" s="1049"/>
      <c r="AM27" s="1049"/>
      <c r="AN27" s="1049"/>
      <c r="AO27" s="1049"/>
      <c r="AP27" s="1049"/>
      <c r="AQ27" s="1049"/>
      <c r="AR27" s="1049"/>
    </row>
    <row r="28" spans="1:44" s="982" customFormat="1" ht="12.75" customHeight="1">
      <c r="A28" s="2120"/>
      <c r="B28" s="2120"/>
      <c r="C28" s="996" t="s">
        <v>142</v>
      </c>
      <c r="D28" s="1050">
        <v>72.5</v>
      </c>
      <c r="E28" s="1051">
        <f>Мероприятия_отчет!H14</f>
        <v>162</v>
      </c>
      <c r="F28" s="1052">
        <f>SUM(Мероприятия_отчет!$AZ$8:$AZ$12)</f>
        <v>155</v>
      </c>
      <c r="G28" s="1052">
        <f t="shared" si="3"/>
        <v>82.5</v>
      </c>
      <c r="H28" s="1053">
        <f t="shared" si="4"/>
        <v>-7</v>
      </c>
      <c r="I28" s="1805">
        <v>59.1</v>
      </c>
      <c r="J28" s="1051">
        <f>Мероприятия_план!H12</f>
        <v>89</v>
      </c>
      <c r="K28" s="1806">
        <f t="shared" si="2"/>
        <v>29.9</v>
      </c>
      <c r="M28" s="1048"/>
      <c r="N28" s="1049"/>
      <c r="O28" s="1049"/>
      <c r="U28" s="1055"/>
      <c r="V28" s="1049"/>
      <c r="W28" s="1009"/>
    </row>
    <row r="29" spans="1:44" s="982" customFormat="1" ht="12.75" customHeight="1">
      <c r="A29" s="2120"/>
      <c r="B29" s="2120"/>
      <c r="C29" s="1006" t="s">
        <v>145</v>
      </c>
      <c r="D29" s="1056">
        <v>72.5</v>
      </c>
      <c r="E29" s="1057">
        <f>IF(E28=0,0,E28/E27)</f>
        <v>81</v>
      </c>
      <c r="F29" s="1057">
        <f>IF(F28=0,0,F28/F27)</f>
        <v>77.5</v>
      </c>
      <c r="G29" s="1058">
        <f t="shared" si="3"/>
        <v>5</v>
      </c>
      <c r="H29" s="1053">
        <f t="shared" si="4"/>
        <v>-3.5</v>
      </c>
      <c r="I29" s="1807">
        <f>IF(I28=0,0,I28/I27)</f>
        <v>59.1</v>
      </c>
      <c r="J29" s="1057">
        <f>IF(J28=0,0,J28/J27)</f>
        <v>89</v>
      </c>
      <c r="K29" s="1808">
        <f t="shared" si="2"/>
        <v>29.9</v>
      </c>
      <c r="M29" s="1048"/>
      <c r="N29" s="1049"/>
      <c r="O29" s="1049"/>
      <c r="U29" s="1055"/>
      <c r="V29" s="1049"/>
      <c r="W29" s="1009"/>
    </row>
    <row r="30" spans="1:44" s="982" customFormat="1" ht="12.75" customHeight="1">
      <c r="A30" s="2120"/>
      <c r="B30" s="2120"/>
      <c r="C30" s="1038" t="s">
        <v>321</v>
      </c>
      <c r="D30" s="1061">
        <v>1293</v>
      </c>
      <c r="E30" s="1062">
        <f>Мероприятия_отчет!J14</f>
        <v>1768</v>
      </c>
      <c r="F30" s="1063">
        <f>SUM(Мероприятия_отчет!$BA$8:$BA$12)</f>
        <v>1834</v>
      </c>
      <c r="G30" s="1063">
        <f t="shared" si="3"/>
        <v>541</v>
      </c>
      <c r="H30" s="1064">
        <f t="shared" si="4"/>
        <v>66</v>
      </c>
      <c r="I30" s="1809">
        <v>1271</v>
      </c>
      <c r="J30" s="1062">
        <f>Мероприятия_план!J13</f>
        <v>89</v>
      </c>
      <c r="K30" s="1810">
        <f t="shared" si="2"/>
        <v>-1182</v>
      </c>
      <c r="M30" s="1048"/>
      <c r="N30" s="1049"/>
      <c r="O30" s="1049"/>
      <c r="W30" s="1009"/>
      <c r="X30" s="1009"/>
    </row>
    <row r="31" spans="1:44" s="982" customFormat="1" ht="12.75" customHeight="1">
      <c r="A31" s="2120" t="s">
        <v>281</v>
      </c>
      <c r="B31" s="2120"/>
      <c r="C31" s="1043" t="s">
        <v>2</v>
      </c>
      <c r="D31" s="1044">
        <v>0</v>
      </c>
      <c r="E31" s="1045">
        <v>0</v>
      </c>
      <c r="F31" s="1045">
        <v>0</v>
      </c>
      <c r="G31" s="1045">
        <v>0</v>
      </c>
      <c r="H31" s="1046">
        <v>0</v>
      </c>
      <c r="I31" s="1803">
        <v>0</v>
      </c>
      <c r="J31" s="1045">
        <v>0</v>
      </c>
      <c r="K31" s="1804">
        <v>0</v>
      </c>
      <c r="O31" s="1049"/>
      <c r="P31" s="1049"/>
      <c r="S31" s="1048"/>
      <c r="X31" s="1049"/>
    </row>
    <row r="32" spans="1:44" s="982" customFormat="1" ht="12.75" customHeight="1">
      <c r="A32" s="2120"/>
      <c r="B32" s="2120"/>
      <c r="C32" s="996" t="s">
        <v>142</v>
      </c>
      <c r="D32" s="1050">
        <v>0</v>
      </c>
      <c r="E32" s="1051">
        <v>0</v>
      </c>
      <c r="F32" s="1052">
        <v>0</v>
      </c>
      <c r="G32" s="1052">
        <v>0</v>
      </c>
      <c r="H32" s="1053">
        <v>0</v>
      </c>
      <c r="I32" s="1805">
        <v>0</v>
      </c>
      <c r="J32" s="1051">
        <v>0</v>
      </c>
      <c r="K32" s="1806">
        <v>0</v>
      </c>
      <c r="P32" s="1049"/>
      <c r="Q32" s="1055"/>
      <c r="R32" s="1049"/>
      <c r="S32" s="1049"/>
    </row>
    <row r="33" spans="1:22" s="982" customFormat="1" ht="12.75" customHeight="1">
      <c r="A33" s="2120"/>
      <c r="B33" s="2120"/>
      <c r="C33" s="1006" t="s">
        <v>145</v>
      </c>
      <c r="D33" s="1056">
        <v>0</v>
      </c>
      <c r="E33" s="1057">
        <v>0</v>
      </c>
      <c r="F33" s="1057">
        <v>0</v>
      </c>
      <c r="G33" s="1058">
        <v>0</v>
      </c>
      <c r="H33" s="1053">
        <v>0</v>
      </c>
      <c r="I33" s="1807">
        <v>0</v>
      </c>
      <c r="J33" s="1057">
        <v>0</v>
      </c>
      <c r="K33" s="1808">
        <v>0</v>
      </c>
      <c r="Q33" s="1055"/>
      <c r="R33" s="1049"/>
      <c r="S33" s="1049"/>
    </row>
    <row r="34" spans="1:22" s="982" customFormat="1" ht="12.75" customHeight="1">
      <c r="A34" s="2120"/>
      <c r="B34" s="2120"/>
      <c r="C34" s="1038" t="s">
        <v>321</v>
      </c>
      <c r="D34" s="1061">
        <v>0</v>
      </c>
      <c r="E34" s="1062">
        <v>0</v>
      </c>
      <c r="F34" s="1063">
        <v>0</v>
      </c>
      <c r="G34" s="1063">
        <v>0</v>
      </c>
      <c r="H34" s="1064">
        <v>0</v>
      </c>
      <c r="I34" s="1809">
        <v>0</v>
      </c>
      <c r="J34" s="1062">
        <v>0</v>
      </c>
      <c r="K34" s="1810">
        <v>0</v>
      </c>
      <c r="O34" s="1048"/>
      <c r="S34" s="1049"/>
      <c r="T34" s="1049"/>
    </row>
    <row r="35" spans="1:22" s="982" customFormat="1" ht="12.75" customHeight="1">
      <c r="A35" s="2098" t="s">
        <v>280</v>
      </c>
      <c r="B35" s="2098"/>
      <c r="C35" s="1066" t="s">
        <v>2</v>
      </c>
      <c r="D35" s="1044">
        <v>0</v>
      </c>
      <c r="E35" s="1045">
        <f>Мероприятия_отчет!B33</f>
        <v>0</v>
      </c>
      <c r="F35" s="1045">
        <f>COUNT(Мероприятия_отчет!$AP$50:$AP$53)+COUNT(Мероприятия_отчет!$AP$29:$AP$30)</f>
        <v>0</v>
      </c>
      <c r="G35" s="1045">
        <f t="shared" si="3"/>
        <v>0</v>
      </c>
      <c r="H35" s="1046">
        <f t="shared" si="4"/>
        <v>0</v>
      </c>
      <c r="I35" s="1803">
        <v>1</v>
      </c>
      <c r="J35" s="1045">
        <f>COUNT(Мероприятия_план!H48:H51)</f>
        <v>1</v>
      </c>
      <c r="K35" s="1804">
        <f t="shared" si="2"/>
        <v>0</v>
      </c>
      <c r="M35" s="1055"/>
      <c r="N35" s="1049"/>
      <c r="O35" s="1049"/>
      <c r="T35" s="1049"/>
    </row>
    <row r="36" spans="1:22" s="982" customFormat="1" ht="12.75" customHeight="1">
      <c r="A36" s="2098"/>
      <c r="B36" s="2098"/>
      <c r="C36" s="996" t="s">
        <v>142</v>
      </c>
      <c r="D36" s="1050">
        <v>0</v>
      </c>
      <c r="E36" s="1051">
        <f>Мероприятия_отчет!H33</f>
        <v>0</v>
      </c>
      <c r="F36" s="1052">
        <f>SUM(Мероприятия_отчет!$AZ$50:$AZ$53)+SUM(Мероприятия_отчет!$AZ$29:$AZ$30)</f>
        <v>0</v>
      </c>
      <c r="G36" s="1051">
        <f t="shared" si="3"/>
        <v>0</v>
      </c>
      <c r="H36" s="1053">
        <f t="shared" si="4"/>
        <v>0</v>
      </c>
      <c r="I36" s="1805">
        <v>30</v>
      </c>
      <c r="J36" s="1051">
        <f>Мероприятия_план!H52</f>
        <v>42.5</v>
      </c>
      <c r="K36" s="1806">
        <f t="shared" si="2"/>
        <v>12.5</v>
      </c>
      <c r="M36" s="1055"/>
      <c r="N36" s="1049"/>
      <c r="O36" s="1049"/>
    </row>
    <row r="37" spans="1:22" s="982" customFormat="1" ht="12.75" customHeight="1">
      <c r="A37" s="2098"/>
      <c r="B37" s="2098"/>
      <c r="C37" s="1006" t="s">
        <v>145</v>
      </c>
      <c r="D37" s="1056">
        <v>0</v>
      </c>
      <c r="E37" s="1057">
        <f>IF(E36=0,0,E36/E35)</f>
        <v>0</v>
      </c>
      <c r="F37" s="1057">
        <f>IF(F36=0,0,F36/F35)</f>
        <v>0</v>
      </c>
      <c r="G37" s="1057">
        <f t="shared" si="3"/>
        <v>0</v>
      </c>
      <c r="H37" s="1053">
        <f t="shared" si="4"/>
        <v>0</v>
      </c>
      <c r="I37" s="1807">
        <f>IF(I36=0,0,I36/I35)</f>
        <v>30</v>
      </c>
      <c r="J37" s="1057">
        <f>IF(J36=0,0,J36/J35)</f>
        <v>42.5</v>
      </c>
      <c r="K37" s="1808">
        <f t="shared" si="2"/>
        <v>12.5</v>
      </c>
      <c r="O37" s="1049"/>
    </row>
    <row r="38" spans="1:22" s="982" customFormat="1" ht="12.75" customHeight="1">
      <c r="A38" s="2098"/>
      <c r="B38" s="2098"/>
      <c r="C38" s="1038" t="s">
        <v>321</v>
      </c>
      <c r="D38" s="1061">
        <v>0</v>
      </c>
      <c r="E38" s="1062">
        <f>Мероприятия_отчет!J33</f>
        <v>0</v>
      </c>
      <c r="F38" s="1063">
        <f>SUM(Мероприятия_отчет!$BA$50:$BA$53)+SUM(Мероприятия_отчет!$BA$29:$BA$30)</f>
        <v>0</v>
      </c>
      <c r="G38" s="1062">
        <f t="shared" si="3"/>
        <v>0</v>
      </c>
      <c r="H38" s="1064">
        <f t="shared" si="4"/>
        <v>0</v>
      </c>
      <c r="I38" s="1809">
        <v>620</v>
      </c>
      <c r="J38" s="1062">
        <f>Мероприятия_план!J53</f>
        <v>1105</v>
      </c>
      <c r="K38" s="1810">
        <f t="shared" si="2"/>
        <v>485</v>
      </c>
    </row>
    <row r="39" spans="1:22" s="982" customFormat="1" ht="12.75" customHeight="1">
      <c r="A39" s="2098" t="s">
        <v>282</v>
      </c>
      <c r="B39" s="2098"/>
      <c r="C39" s="1066" t="s">
        <v>2</v>
      </c>
      <c r="D39" s="1044">
        <v>0</v>
      </c>
      <c r="E39" s="1045">
        <v>0</v>
      </c>
      <c r="F39" s="1045">
        <v>0</v>
      </c>
      <c r="G39" s="1071">
        <v>0</v>
      </c>
      <c r="H39" s="1046">
        <v>0</v>
      </c>
      <c r="I39" s="1803">
        <v>0</v>
      </c>
      <c r="J39" s="1045">
        <v>0</v>
      </c>
      <c r="K39" s="1804">
        <v>0</v>
      </c>
      <c r="M39" s="1009"/>
      <c r="Q39" s="1055"/>
      <c r="R39" s="1049"/>
      <c r="S39" s="1049"/>
    </row>
    <row r="40" spans="1:22" s="982" customFormat="1" ht="12.75" customHeight="1">
      <c r="A40" s="2098"/>
      <c r="B40" s="2098"/>
      <c r="C40" s="996" t="s">
        <v>142</v>
      </c>
      <c r="D40" s="1050">
        <v>0</v>
      </c>
      <c r="E40" s="1051">
        <v>0</v>
      </c>
      <c r="F40" s="1052">
        <v>0</v>
      </c>
      <c r="G40" s="998">
        <v>0</v>
      </c>
      <c r="H40" s="1053">
        <v>0</v>
      </c>
      <c r="I40" s="1805">
        <v>0</v>
      </c>
      <c r="J40" s="1051">
        <v>0</v>
      </c>
      <c r="K40" s="1806">
        <v>0</v>
      </c>
      <c r="Q40" s="1055"/>
      <c r="R40" s="1049"/>
      <c r="S40" s="1049"/>
      <c r="U40" s="1009"/>
      <c r="V40" s="1009"/>
    </row>
    <row r="41" spans="1:22" s="982" customFormat="1" ht="12.75" customHeight="1">
      <c r="A41" s="2098"/>
      <c r="B41" s="2098"/>
      <c r="C41" s="1006" t="s">
        <v>145</v>
      </c>
      <c r="D41" s="1056">
        <v>0</v>
      </c>
      <c r="E41" s="1057">
        <v>0</v>
      </c>
      <c r="F41" s="1057">
        <v>0</v>
      </c>
      <c r="G41" s="1057">
        <v>0</v>
      </c>
      <c r="H41" s="1053">
        <v>0</v>
      </c>
      <c r="I41" s="1807">
        <v>0</v>
      </c>
      <c r="J41" s="1057">
        <v>0</v>
      </c>
      <c r="K41" s="1808">
        <v>0</v>
      </c>
      <c r="M41" s="1004"/>
      <c r="S41" s="1049"/>
      <c r="T41" s="1049"/>
    </row>
    <row r="42" spans="1:22" s="982" customFormat="1" ht="12.75" customHeight="1">
      <c r="A42" s="2098"/>
      <c r="B42" s="2098"/>
      <c r="C42" s="1038" t="s">
        <v>321</v>
      </c>
      <c r="D42" s="1061">
        <v>0</v>
      </c>
      <c r="E42" s="1062">
        <v>0</v>
      </c>
      <c r="F42" s="1063">
        <v>0</v>
      </c>
      <c r="G42" s="1072">
        <v>0</v>
      </c>
      <c r="H42" s="1064">
        <v>0</v>
      </c>
      <c r="I42" s="1809">
        <v>0</v>
      </c>
      <c r="J42" s="1062">
        <v>0</v>
      </c>
      <c r="K42" s="1810">
        <v>0</v>
      </c>
    </row>
    <row r="43" spans="1:22" s="982" customFormat="1" ht="12.75" customHeight="1">
      <c r="A43" s="2098" t="s">
        <v>283</v>
      </c>
      <c r="B43" s="2098"/>
      <c r="C43" s="1066" t="s">
        <v>2</v>
      </c>
      <c r="D43" s="1044">
        <v>0</v>
      </c>
      <c r="E43" s="1045">
        <v>0</v>
      </c>
      <c r="F43" s="1045">
        <v>0</v>
      </c>
      <c r="G43" s="1071">
        <v>0</v>
      </c>
      <c r="H43" s="1046">
        <v>0</v>
      </c>
      <c r="I43" s="1803">
        <v>0</v>
      </c>
      <c r="J43" s="1045">
        <v>0</v>
      </c>
      <c r="K43" s="1804">
        <v>0</v>
      </c>
    </row>
    <row r="44" spans="1:22" s="982" customFormat="1" ht="12.75" customHeight="1">
      <c r="A44" s="2098"/>
      <c r="B44" s="2098"/>
      <c r="C44" s="996" t="s">
        <v>142</v>
      </c>
      <c r="D44" s="1050">
        <v>0</v>
      </c>
      <c r="E44" s="1051">
        <v>0</v>
      </c>
      <c r="F44" s="1052">
        <v>0</v>
      </c>
      <c r="G44" s="998">
        <v>0</v>
      </c>
      <c r="H44" s="1053">
        <v>0</v>
      </c>
      <c r="I44" s="1805">
        <v>0</v>
      </c>
      <c r="J44" s="1051">
        <v>0</v>
      </c>
      <c r="K44" s="1806">
        <v>0</v>
      </c>
    </row>
    <row r="45" spans="1:22" s="982" customFormat="1" ht="12.75" customHeight="1">
      <c r="A45" s="2098"/>
      <c r="B45" s="2098"/>
      <c r="C45" s="1006" t="s">
        <v>145</v>
      </c>
      <c r="D45" s="1056">
        <v>0</v>
      </c>
      <c r="E45" s="1057">
        <v>0</v>
      </c>
      <c r="F45" s="1057">
        <v>0</v>
      </c>
      <c r="G45" s="1057">
        <v>0</v>
      </c>
      <c r="H45" s="1053">
        <v>0</v>
      </c>
      <c r="I45" s="1807">
        <v>0</v>
      </c>
      <c r="J45" s="1057">
        <v>0</v>
      </c>
      <c r="K45" s="1808">
        <v>0</v>
      </c>
    </row>
    <row r="46" spans="1:22" s="982" customFormat="1" ht="13.5" customHeight="1">
      <c r="A46" s="2098"/>
      <c r="B46" s="2098"/>
      <c r="C46" s="1038" t="s">
        <v>321</v>
      </c>
      <c r="D46" s="1061">
        <v>0</v>
      </c>
      <c r="E46" s="1062">
        <v>0</v>
      </c>
      <c r="F46" s="1063">
        <v>0</v>
      </c>
      <c r="G46" s="1072">
        <v>0</v>
      </c>
      <c r="H46" s="1064">
        <v>0</v>
      </c>
      <c r="I46" s="1809">
        <v>0</v>
      </c>
      <c r="J46" s="1062">
        <v>0</v>
      </c>
      <c r="K46" s="1810">
        <v>0</v>
      </c>
    </row>
    <row r="47" spans="1:22" s="982" customFormat="1" ht="13.5" customHeight="1">
      <c r="A47" s="2098" t="s">
        <v>284</v>
      </c>
      <c r="B47" s="2098"/>
      <c r="C47" s="1066" t="s">
        <v>2</v>
      </c>
      <c r="D47" s="1044">
        <v>0</v>
      </c>
      <c r="E47" s="1045">
        <v>0</v>
      </c>
      <c r="F47" s="1045">
        <v>0</v>
      </c>
      <c r="G47" s="1071">
        <v>0</v>
      </c>
      <c r="H47" s="1046">
        <v>0</v>
      </c>
      <c r="I47" s="1803">
        <v>0</v>
      </c>
      <c r="J47" s="1045">
        <v>0</v>
      </c>
      <c r="K47" s="1804">
        <v>0</v>
      </c>
    </row>
    <row r="48" spans="1:22" s="982" customFormat="1" ht="13.5" customHeight="1">
      <c r="A48" s="2098"/>
      <c r="B48" s="2098"/>
      <c r="C48" s="996" t="s">
        <v>142</v>
      </c>
      <c r="D48" s="1050">
        <v>0</v>
      </c>
      <c r="E48" s="1051">
        <v>0</v>
      </c>
      <c r="F48" s="1052">
        <v>0</v>
      </c>
      <c r="G48" s="998">
        <v>0</v>
      </c>
      <c r="H48" s="1053">
        <v>0</v>
      </c>
      <c r="I48" s="1805">
        <v>0</v>
      </c>
      <c r="J48" s="1051">
        <v>0</v>
      </c>
      <c r="K48" s="1806">
        <v>0</v>
      </c>
    </row>
    <row r="49" spans="1:11" s="982" customFormat="1" ht="13.5" customHeight="1">
      <c r="A49" s="2098"/>
      <c r="B49" s="2098"/>
      <c r="C49" s="1006" t="s">
        <v>145</v>
      </c>
      <c r="D49" s="1056">
        <v>0</v>
      </c>
      <c r="E49" s="1057">
        <v>0</v>
      </c>
      <c r="F49" s="1057">
        <v>0</v>
      </c>
      <c r="G49" s="1057">
        <v>0</v>
      </c>
      <c r="H49" s="1053">
        <v>0</v>
      </c>
      <c r="I49" s="1807">
        <v>0</v>
      </c>
      <c r="J49" s="1057">
        <v>0</v>
      </c>
      <c r="K49" s="1808">
        <v>0</v>
      </c>
    </row>
    <row r="50" spans="1:11" s="982" customFormat="1" ht="13.5" customHeight="1" thickBot="1">
      <c r="A50" s="2099"/>
      <c r="B50" s="2099"/>
      <c r="C50" s="1006" t="s">
        <v>321</v>
      </c>
      <c r="D50" s="1056">
        <v>0</v>
      </c>
      <c r="E50" s="1057">
        <v>0</v>
      </c>
      <c r="F50" s="1058">
        <v>0</v>
      </c>
      <c r="G50" s="1007">
        <v>0</v>
      </c>
      <c r="H50" s="1076">
        <v>0</v>
      </c>
      <c r="I50" s="1811">
        <v>0</v>
      </c>
      <c r="J50" s="1057">
        <v>0</v>
      </c>
      <c r="K50" s="1808">
        <v>0</v>
      </c>
    </row>
    <row r="51" spans="1:11" s="982" customFormat="1" ht="12.75" customHeight="1" thickBot="1">
      <c r="A51" s="2101" t="s">
        <v>323</v>
      </c>
      <c r="B51" s="2102"/>
      <c r="C51" s="1818" t="s">
        <v>2</v>
      </c>
      <c r="D51" s="1819">
        <f t="shared" ref="D51:F52" si="9">D63+D67+D71+D75+D59+D55</f>
        <v>0</v>
      </c>
      <c r="E51" s="1795">
        <f>E63+E67+E71+E75+E59+E55</f>
        <v>2</v>
      </c>
      <c r="F51" s="1795">
        <f t="shared" si="9"/>
        <v>2</v>
      </c>
      <c r="G51" s="1795">
        <f t="shared" si="3"/>
        <v>2</v>
      </c>
      <c r="H51" s="1820">
        <f t="shared" si="4"/>
        <v>0</v>
      </c>
      <c r="I51" s="1819">
        <f>I63+I67+I71+I75+I59+I55</f>
        <v>0</v>
      </c>
      <c r="J51" s="1795">
        <f>J63+J67+J71+J75+J59+J55</f>
        <v>4</v>
      </c>
      <c r="K51" s="1796">
        <f t="shared" si="2"/>
        <v>4</v>
      </c>
    </row>
    <row r="52" spans="1:11" s="982" customFormat="1" ht="12.75" customHeight="1" thickBot="1">
      <c r="A52" s="2103"/>
      <c r="B52" s="2104"/>
      <c r="C52" s="996" t="s">
        <v>142</v>
      </c>
      <c r="D52" s="1073">
        <f>D64+D68+D72+D76+D60+D56</f>
        <v>0</v>
      </c>
      <c r="E52" s="1033">
        <f>E64+E68+E72+E76+E60+E56</f>
        <v>29.2</v>
      </c>
      <c r="F52" s="1033">
        <f t="shared" si="9"/>
        <v>43</v>
      </c>
      <c r="G52" s="1033">
        <f t="shared" si="3"/>
        <v>43</v>
      </c>
      <c r="H52" s="1034">
        <f t="shared" si="4"/>
        <v>13.8</v>
      </c>
      <c r="I52" s="1073">
        <f>I64+I68+I72+I76+I60+I56</f>
        <v>0</v>
      </c>
      <c r="J52" s="1033">
        <f>J64+J68+J72+J76+J60+J56</f>
        <v>57</v>
      </c>
      <c r="K52" s="1798">
        <f t="shared" si="2"/>
        <v>57</v>
      </c>
    </row>
    <row r="53" spans="1:11" s="982" customFormat="1" ht="12.75" customHeight="1" thickBot="1">
      <c r="A53" s="2103"/>
      <c r="B53" s="2104"/>
      <c r="C53" s="1006" t="s">
        <v>145</v>
      </c>
      <c r="D53" s="1074" t="e">
        <f>D52/D51</f>
        <v>#DIV/0!</v>
      </c>
      <c r="E53" s="1032">
        <f>E52/E51</f>
        <v>14.6</v>
      </c>
      <c r="F53" s="1032">
        <f>F52/F51</f>
        <v>21.5</v>
      </c>
      <c r="G53" s="1037" t="e">
        <f>IF(D53="","",F53-D53)</f>
        <v>#DIV/0!</v>
      </c>
      <c r="H53" s="1034">
        <f t="shared" si="4"/>
        <v>6.9</v>
      </c>
      <c r="I53" s="1074" t="e">
        <f>I52/I51</f>
        <v>#DIV/0!</v>
      </c>
      <c r="J53" s="1032">
        <f>J52/J51</f>
        <v>14.25</v>
      </c>
      <c r="K53" s="1800" t="e">
        <f t="shared" si="2"/>
        <v>#DIV/0!</v>
      </c>
    </row>
    <row r="54" spans="1:11" s="982" customFormat="1" ht="12.75" customHeight="1" thickBot="1">
      <c r="A54" s="2105"/>
      <c r="B54" s="2106"/>
      <c r="C54" s="1821" t="s">
        <v>321</v>
      </c>
      <c r="D54" s="1822">
        <f>D66+D70+D74+D78+D62+D58</f>
        <v>0</v>
      </c>
      <c r="E54" s="1823">
        <f>E66+E70+E74+E78+E62+E58</f>
        <v>364</v>
      </c>
      <c r="F54" s="1823">
        <f>F66+F70+F74+F78+F62+F58</f>
        <v>547</v>
      </c>
      <c r="G54" s="1823">
        <f t="shared" si="3"/>
        <v>547</v>
      </c>
      <c r="H54" s="1824">
        <f t="shared" si="4"/>
        <v>183</v>
      </c>
      <c r="I54" s="1822">
        <f>I66+I70+I74+I78+I62+I58</f>
        <v>0</v>
      </c>
      <c r="J54" s="1823">
        <f>J66+J70+J74+J78+J62+J58</f>
        <v>986</v>
      </c>
      <c r="K54" s="1825">
        <f t="shared" si="2"/>
        <v>986</v>
      </c>
    </row>
    <row r="55" spans="1:11" s="982" customFormat="1" ht="12.75" customHeight="1">
      <c r="A55" s="2107" t="s">
        <v>286</v>
      </c>
      <c r="B55" s="2107"/>
      <c r="C55" s="1043" t="s">
        <v>2</v>
      </c>
      <c r="D55" s="1044">
        <v>0</v>
      </c>
      <c r="E55" s="1045">
        <v>0</v>
      </c>
      <c r="F55" s="1045">
        <v>0</v>
      </c>
      <c r="G55" s="1071">
        <v>0</v>
      </c>
      <c r="H55" s="1046">
        <v>0</v>
      </c>
      <c r="I55" s="1044">
        <v>0</v>
      </c>
      <c r="J55" s="1045">
        <v>0</v>
      </c>
      <c r="K55" s="1047">
        <v>0</v>
      </c>
    </row>
    <row r="56" spans="1:11" s="982" customFormat="1" ht="12.75" customHeight="1">
      <c r="A56" s="2098"/>
      <c r="B56" s="2098"/>
      <c r="C56" s="996" t="s">
        <v>142</v>
      </c>
      <c r="D56" s="1050">
        <v>0</v>
      </c>
      <c r="E56" s="1051">
        <v>0</v>
      </c>
      <c r="F56" s="1052">
        <v>0</v>
      </c>
      <c r="G56" s="998">
        <v>0</v>
      </c>
      <c r="H56" s="1053">
        <v>0</v>
      </c>
      <c r="I56" s="1050">
        <v>0</v>
      </c>
      <c r="J56" s="1051">
        <v>0</v>
      </c>
      <c r="K56" s="1054">
        <v>0</v>
      </c>
    </row>
    <row r="57" spans="1:11" s="982" customFormat="1" ht="12.75" customHeight="1">
      <c r="A57" s="2098"/>
      <c r="B57" s="2098"/>
      <c r="C57" s="1006" t="s">
        <v>145</v>
      </c>
      <c r="D57" s="1056">
        <v>0</v>
      </c>
      <c r="E57" s="1057">
        <v>0</v>
      </c>
      <c r="F57" s="1057">
        <v>0</v>
      </c>
      <c r="G57" s="1007">
        <v>0</v>
      </c>
      <c r="H57" s="1053">
        <v>0</v>
      </c>
      <c r="I57" s="1056">
        <v>0</v>
      </c>
      <c r="J57" s="1057">
        <v>0</v>
      </c>
      <c r="K57" s="1060">
        <v>0</v>
      </c>
    </row>
    <row r="58" spans="1:11" s="982" customFormat="1" ht="12.75" customHeight="1">
      <c r="A58" s="2098"/>
      <c r="B58" s="2098"/>
      <c r="C58" s="1038" t="s">
        <v>321</v>
      </c>
      <c r="D58" s="1061">
        <v>0</v>
      </c>
      <c r="E58" s="1062">
        <v>0</v>
      </c>
      <c r="F58" s="1063">
        <v>0</v>
      </c>
      <c r="G58" s="1072">
        <v>0</v>
      </c>
      <c r="H58" s="1064">
        <v>0</v>
      </c>
      <c r="I58" s="1061">
        <v>0</v>
      </c>
      <c r="J58" s="1062">
        <v>0</v>
      </c>
      <c r="K58" s="1065">
        <v>0</v>
      </c>
    </row>
    <row r="59" spans="1:11" s="982" customFormat="1" ht="13.5" customHeight="1">
      <c r="A59" s="2098" t="s">
        <v>287</v>
      </c>
      <c r="B59" s="2098"/>
      <c r="C59" s="1066" t="s">
        <v>2</v>
      </c>
      <c r="D59" s="1044">
        <v>0</v>
      </c>
      <c r="E59" s="1045">
        <v>0</v>
      </c>
      <c r="F59" s="1045">
        <v>0</v>
      </c>
      <c r="G59" s="1071">
        <v>0</v>
      </c>
      <c r="H59" s="1046">
        <v>0</v>
      </c>
      <c r="I59" s="1044">
        <v>0</v>
      </c>
      <c r="J59" s="1045">
        <v>0</v>
      </c>
      <c r="K59" s="1047">
        <v>0</v>
      </c>
    </row>
    <row r="60" spans="1:11" s="982" customFormat="1" ht="12.75" customHeight="1">
      <c r="A60" s="2098"/>
      <c r="B60" s="2098"/>
      <c r="C60" s="996" t="s">
        <v>142</v>
      </c>
      <c r="D60" s="1050">
        <v>0</v>
      </c>
      <c r="E60" s="1051">
        <v>0</v>
      </c>
      <c r="F60" s="1052">
        <v>0</v>
      </c>
      <c r="G60" s="998">
        <v>0</v>
      </c>
      <c r="H60" s="1053">
        <v>0</v>
      </c>
      <c r="I60" s="1050">
        <v>0</v>
      </c>
      <c r="J60" s="1051">
        <v>0</v>
      </c>
      <c r="K60" s="1054">
        <v>0</v>
      </c>
    </row>
    <row r="61" spans="1:11" s="982" customFormat="1" ht="12.75" customHeight="1">
      <c r="A61" s="2098"/>
      <c r="B61" s="2098"/>
      <c r="C61" s="1006" t="s">
        <v>145</v>
      </c>
      <c r="D61" s="1056">
        <v>0</v>
      </c>
      <c r="E61" s="1057">
        <v>0</v>
      </c>
      <c r="F61" s="1057">
        <v>0</v>
      </c>
      <c r="G61" s="1007">
        <v>0</v>
      </c>
      <c r="H61" s="1053">
        <v>0</v>
      </c>
      <c r="I61" s="1056">
        <v>0</v>
      </c>
      <c r="J61" s="1057">
        <v>0</v>
      </c>
      <c r="K61" s="1060">
        <v>0</v>
      </c>
    </row>
    <row r="62" spans="1:11" s="982" customFormat="1" ht="12.75" customHeight="1">
      <c r="A62" s="2098"/>
      <c r="B62" s="2098"/>
      <c r="C62" s="1038" t="s">
        <v>321</v>
      </c>
      <c r="D62" s="1061">
        <v>0</v>
      </c>
      <c r="E62" s="1062">
        <v>0</v>
      </c>
      <c r="F62" s="1063">
        <v>0</v>
      </c>
      <c r="G62" s="1072">
        <v>0</v>
      </c>
      <c r="H62" s="1064">
        <v>0</v>
      </c>
      <c r="I62" s="1061">
        <v>0</v>
      </c>
      <c r="J62" s="1062">
        <v>0</v>
      </c>
      <c r="K62" s="1065">
        <v>0</v>
      </c>
    </row>
    <row r="63" spans="1:11" s="982" customFormat="1" ht="12.75" customHeight="1">
      <c r="A63" s="2108" t="s">
        <v>318</v>
      </c>
      <c r="B63" s="2109"/>
      <c r="C63" s="1043" t="s">
        <v>2</v>
      </c>
      <c r="D63" s="1044">
        <v>0</v>
      </c>
      <c r="E63" s="1045">
        <v>0</v>
      </c>
      <c r="F63" s="1045">
        <v>0</v>
      </c>
      <c r="G63" s="1071">
        <v>0</v>
      </c>
      <c r="H63" s="1046">
        <v>0</v>
      </c>
      <c r="I63" s="1044">
        <v>0</v>
      </c>
      <c r="J63" s="1045">
        <v>0</v>
      </c>
      <c r="K63" s="1047">
        <v>0</v>
      </c>
    </row>
    <row r="64" spans="1:11" s="982" customFormat="1" ht="12.75" customHeight="1">
      <c r="A64" s="2110"/>
      <c r="B64" s="2111"/>
      <c r="C64" s="996" t="s">
        <v>142</v>
      </c>
      <c r="D64" s="1050">
        <v>0</v>
      </c>
      <c r="E64" s="1051">
        <v>0</v>
      </c>
      <c r="F64" s="1052">
        <v>0</v>
      </c>
      <c r="G64" s="998">
        <v>0</v>
      </c>
      <c r="H64" s="1053">
        <v>0</v>
      </c>
      <c r="I64" s="1050">
        <v>0</v>
      </c>
      <c r="J64" s="1051">
        <v>0</v>
      </c>
      <c r="K64" s="1054">
        <v>0</v>
      </c>
    </row>
    <row r="65" spans="1:24" s="982" customFormat="1" ht="12.75" customHeight="1">
      <c r="A65" s="2110"/>
      <c r="B65" s="2111"/>
      <c r="C65" s="1006" t="s">
        <v>145</v>
      </c>
      <c r="D65" s="1056">
        <v>0</v>
      </c>
      <c r="E65" s="1057">
        <v>0</v>
      </c>
      <c r="F65" s="1057">
        <v>0</v>
      </c>
      <c r="G65" s="1007">
        <v>0</v>
      </c>
      <c r="H65" s="1053">
        <v>0</v>
      </c>
      <c r="I65" s="1059">
        <v>0</v>
      </c>
      <c r="J65" s="1057">
        <v>0</v>
      </c>
      <c r="K65" s="1060">
        <v>0</v>
      </c>
    </row>
    <row r="66" spans="1:24" s="982" customFormat="1" ht="12.75" customHeight="1">
      <c r="A66" s="2112"/>
      <c r="B66" s="2113"/>
      <c r="C66" s="1038" t="s">
        <v>321</v>
      </c>
      <c r="D66" s="1061">
        <v>0</v>
      </c>
      <c r="E66" s="1062">
        <v>0</v>
      </c>
      <c r="F66" s="1063">
        <v>0</v>
      </c>
      <c r="G66" s="1072">
        <v>0</v>
      </c>
      <c r="H66" s="1064">
        <v>0</v>
      </c>
      <c r="I66" s="1061">
        <v>0</v>
      </c>
      <c r="J66" s="1062">
        <v>0</v>
      </c>
      <c r="K66" s="1065">
        <v>0</v>
      </c>
      <c r="M66" s="1049"/>
      <c r="O66" s="1048"/>
      <c r="S66" s="1048"/>
    </row>
    <row r="67" spans="1:24" s="982" customFormat="1">
      <c r="A67" s="2114" t="s">
        <v>293</v>
      </c>
      <c r="B67" s="2115"/>
      <c r="C67" s="1066" t="s">
        <v>2</v>
      </c>
      <c r="D67" s="1044"/>
      <c r="E67" s="1045">
        <f>Мероприятия_отчет!B162</f>
        <v>1</v>
      </c>
      <c r="F67" s="1045">
        <f>COUNT(Мероприятия_отчет!$AP$157:$AP$161)</f>
        <v>1</v>
      </c>
      <c r="G67" s="1071" t="str">
        <f t="shared" si="3"/>
        <v/>
      </c>
      <c r="H67" s="1046">
        <f t="shared" si="4"/>
        <v>0</v>
      </c>
      <c r="I67" s="1044"/>
      <c r="J67" s="1045">
        <f>Мероприятия_план!B102</f>
        <v>4</v>
      </c>
      <c r="K67" s="1047" t="str">
        <f t="shared" si="2"/>
        <v/>
      </c>
      <c r="M67" s="1055"/>
      <c r="O67" s="1009"/>
      <c r="Q67" s="1055"/>
      <c r="R67" s="1049"/>
      <c r="S67" s="1049"/>
      <c r="W67" s="1048"/>
    </row>
    <row r="68" spans="1:24" s="982" customFormat="1">
      <c r="A68" s="2116"/>
      <c r="B68" s="2117"/>
      <c r="C68" s="996" t="s">
        <v>142</v>
      </c>
      <c r="D68" s="1050"/>
      <c r="E68" s="1051">
        <f>(Мероприятия_отчет!H163)</f>
        <v>9.1999999999999993</v>
      </c>
      <c r="F68" s="1052">
        <f>SUM(Мероприятия_отчет!$AZ$157:$AZ$161)</f>
        <v>20</v>
      </c>
      <c r="G68" s="998" t="str">
        <f t="shared" si="3"/>
        <v/>
      </c>
      <c r="H68" s="1053">
        <f t="shared" si="4"/>
        <v>10.8</v>
      </c>
      <c r="I68" s="1050"/>
      <c r="J68" s="1051">
        <f>Мероприятия_план!H102</f>
        <v>57</v>
      </c>
      <c r="K68" s="1054" t="str">
        <f t="shared" si="2"/>
        <v/>
      </c>
      <c r="M68" s="1055"/>
      <c r="O68" s="1009"/>
      <c r="Q68" s="1055"/>
      <c r="R68" s="1049"/>
      <c r="S68" s="1049"/>
      <c r="U68" s="1055"/>
      <c r="V68" s="1049"/>
      <c r="W68" s="1009"/>
    </row>
    <row r="69" spans="1:24" s="982" customFormat="1">
      <c r="A69" s="2116"/>
      <c r="B69" s="2117"/>
      <c r="C69" s="1006" t="s">
        <v>145</v>
      </c>
      <c r="D69" s="1056"/>
      <c r="E69" s="1057">
        <f>IF(E68=0,0,E68/E67)</f>
        <v>9.1999999999999993</v>
      </c>
      <c r="F69" s="1057">
        <f>IF(F68=0,0,F68/F67)</f>
        <v>20</v>
      </c>
      <c r="G69" s="1007" t="str">
        <f t="shared" si="3"/>
        <v/>
      </c>
      <c r="H69" s="1053">
        <f t="shared" si="4"/>
        <v>10.8</v>
      </c>
      <c r="I69" s="1059"/>
      <c r="J69" s="1057">
        <f>IF(J68=0,0,J68/J67)</f>
        <v>14.25</v>
      </c>
      <c r="K69" s="1060" t="str">
        <f t="shared" si="2"/>
        <v/>
      </c>
      <c r="O69" s="1009"/>
      <c r="P69" s="1009"/>
      <c r="Q69" s="1055"/>
      <c r="R69" s="1049"/>
      <c r="S69" s="1049"/>
      <c r="U69" s="1055"/>
      <c r="V69" s="1049"/>
      <c r="W69" s="1009"/>
    </row>
    <row r="70" spans="1:24" s="982" customFormat="1">
      <c r="A70" s="2118"/>
      <c r="B70" s="2119"/>
      <c r="C70" s="1038" t="s">
        <v>321</v>
      </c>
      <c r="D70" s="1061"/>
      <c r="E70" s="1062">
        <f>Мероприятия_отчет!J163</f>
        <v>184</v>
      </c>
      <c r="F70" s="1063">
        <f>SUM(Мероприятия_отчет!$BA$157:$BA$161)</f>
        <v>340</v>
      </c>
      <c r="G70" s="1072" t="str">
        <f t="shared" si="3"/>
        <v/>
      </c>
      <c r="H70" s="1064">
        <f t="shared" si="4"/>
        <v>156</v>
      </c>
      <c r="I70" s="1061"/>
      <c r="J70" s="1062">
        <f>Мероприятия_план!J103</f>
        <v>986</v>
      </c>
      <c r="K70" s="1065" t="str">
        <f t="shared" si="2"/>
        <v/>
      </c>
      <c r="M70" s="1049"/>
      <c r="P70" s="1049"/>
      <c r="S70" s="1049"/>
      <c r="T70" s="1049"/>
      <c r="W70" s="1009"/>
      <c r="X70" s="1009"/>
    </row>
    <row r="71" spans="1:24" s="982" customFormat="1" ht="12.95" customHeight="1">
      <c r="A71" s="2061" t="s">
        <v>288</v>
      </c>
      <c r="B71" s="2061"/>
      <c r="C71" s="1066" t="s">
        <v>2</v>
      </c>
      <c r="D71" s="1044"/>
      <c r="E71" s="1045">
        <f>Мероприятия_отчет!B189</f>
        <v>1</v>
      </c>
      <c r="F71" s="1045">
        <f>COUNT(Мероприятия_отчет!$AP$183:$AP$187)</f>
        <v>1</v>
      </c>
      <c r="G71" s="1071" t="str">
        <f t="shared" si="3"/>
        <v/>
      </c>
      <c r="H71" s="1046">
        <f t="shared" si="4"/>
        <v>0</v>
      </c>
      <c r="I71" s="1044"/>
      <c r="J71" s="1045">
        <f>Мероприятия_план!B128</f>
        <v>0</v>
      </c>
      <c r="K71" s="1047" t="str">
        <f t="shared" si="2"/>
        <v/>
      </c>
      <c r="T71" s="1049"/>
    </row>
    <row r="72" spans="1:24" s="982" customFormat="1" ht="12.75" customHeight="1">
      <c r="A72" s="2061"/>
      <c r="B72" s="2061"/>
      <c r="C72" s="996" t="s">
        <v>142</v>
      </c>
      <c r="D72" s="1050"/>
      <c r="E72" s="1051">
        <f>Мероприятия_отчет!G183</f>
        <v>20</v>
      </c>
      <c r="F72" s="1052">
        <f>SUM(Мероприятия_отчет!$AZ$183:$AZ$187)</f>
        <v>23</v>
      </c>
      <c r="G72" s="998" t="str">
        <f t="shared" si="3"/>
        <v/>
      </c>
      <c r="H72" s="1053">
        <f t="shared" si="4"/>
        <v>3</v>
      </c>
      <c r="I72" s="1050"/>
      <c r="J72" s="1051">
        <f>Мероприятия_план!H128</f>
        <v>0</v>
      </c>
      <c r="K72" s="1054" t="str">
        <f t="shared" si="2"/>
        <v/>
      </c>
    </row>
    <row r="73" spans="1:24" s="982" customFormat="1" ht="12.75" customHeight="1">
      <c r="A73" s="2061"/>
      <c r="B73" s="2061"/>
      <c r="C73" s="1006" t="s">
        <v>145</v>
      </c>
      <c r="D73" s="1056"/>
      <c r="E73" s="1057">
        <f>IF(E72=0,0,E72/E71)</f>
        <v>20</v>
      </c>
      <c r="F73" s="1057">
        <f>IF(F72=0,0,F72/F71)</f>
        <v>23</v>
      </c>
      <c r="G73" s="1007" t="str">
        <f t="shared" si="3"/>
        <v/>
      </c>
      <c r="H73" s="1053">
        <f t="shared" si="4"/>
        <v>3</v>
      </c>
      <c r="I73" s="1059"/>
      <c r="J73" s="1057">
        <f>IF(J72=0,0,J72/J71)</f>
        <v>0</v>
      </c>
      <c r="K73" s="1060" t="str">
        <f t="shared" si="2"/>
        <v/>
      </c>
    </row>
    <row r="74" spans="1:24" s="982" customFormat="1" ht="12.75" customHeight="1">
      <c r="A74" s="2061"/>
      <c r="B74" s="2061"/>
      <c r="C74" s="1038" t="s">
        <v>321</v>
      </c>
      <c r="D74" s="1061"/>
      <c r="E74" s="1062">
        <f>Мероприятия_отчет!I188</f>
        <v>180</v>
      </c>
      <c r="F74" s="1063">
        <f>SUM(Мероприятия_отчет!$BA$183:$BA$187)</f>
        <v>207</v>
      </c>
      <c r="G74" s="1072" t="str">
        <f t="shared" si="3"/>
        <v/>
      </c>
      <c r="H74" s="1064">
        <f t="shared" si="4"/>
        <v>27</v>
      </c>
      <c r="I74" s="1061"/>
      <c r="J74" s="1062">
        <f>Мероприятия_план!J129</f>
        <v>0</v>
      </c>
      <c r="K74" s="1065" t="str">
        <f t="shared" si="2"/>
        <v/>
      </c>
    </row>
    <row r="75" spans="1:24" s="982" customFormat="1" ht="12.75" customHeight="1">
      <c r="A75" s="2061" t="s">
        <v>294</v>
      </c>
      <c r="B75" s="2061"/>
      <c r="C75" s="1066" t="s">
        <v>2</v>
      </c>
      <c r="D75" s="1044">
        <v>0</v>
      </c>
      <c r="E75" s="1045">
        <v>0</v>
      </c>
      <c r="F75" s="1045">
        <v>0</v>
      </c>
      <c r="G75" s="1071">
        <v>0</v>
      </c>
      <c r="H75" s="1046">
        <v>0</v>
      </c>
      <c r="I75" s="1044">
        <v>0</v>
      </c>
      <c r="J75" s="1045">
        <v>0</v>
      </c>
      <c r="K75" s="1047">
        <v>0</v>
      </c>
    </row>
    <row r="76" spans="1:24" s="982" customFormat="1" ht="12.75" customHeight="1">
      <c r="A76" s="2061"/>
      <c r="B76" s="2061"/>
      <c r="C76" s="996" t="s">
        <v>142</v>
      </c>
      <c r="D76" s="1050">
        <v>0</v>
      </c>
      <c r="E76" s="1051">
        <v>0</v>
      </c>
      <c r="F76" s="1052">
        <v>0</v>
      </c>
      <c r="G76" s="1071">
        <v>0</v>
      </c>
      <c r="H76" s="1053">
        <v>0</v>
      </c>
      <c r="I76" s="1050">
        <v>0</v>
      </c>
      <c r="J76" s="1051">
        <v>0</v>
      </c>
      <c r="K76" s="1054">
        <v>0</v>
      </c>
    </row>
    <row r="77" spans="1:24" s="982" customFormat="1" ht="12.75" customHeight="1">
      <c r="A77" s="2061"/>
      <c r="B77" s="2061"/>
      <c r="C77" s="1006" t="s">
        <v>145</v>
      </c>
      <c r="D77" s="1056">
        <v>0</v>
      </c>
      <c r="E77" s="1057">
        <v>0</v>
      </c>
      <c r="F77" s="1057">
        <v>0</v>
      </c>
      <c r="G77" s="1071">
        <v>0</v>
      </c>
      <c r="H77" s="1053">
        <v>0</v>
      </c>
      <c r="I77" s="1056">
        <v>0</v>
      </c>
      <c r="J77" s="1057">
        <v>0</v>
      </c>
      <c r="K77" s="1060">
        <v>0</v>
      </c>
    </row>
    <row r="78" spans="1:24" s="982" customFormat="1" ht="12.75" customHeight="1">
      <c r="A78" s="2061"/>
      <c r="B78" s="2061"/>
      <c r="C78" s="1038" t="s">
        <v>321</v>
      </c>
      <c r="D78" s="1061">
        <v>0</v>
      </c>
      <c r="E78" s="1062">
        <v>0</v>
      </c>
      <c r="F78" s="1063">
        <v>0</v>
      </c>
      <c r="G78" s="1072">
        <v>0</v>
      </c>
      <c r="H78" s="1064">
        <v>0</v>
      </c>
      <c r="I78" s="1061">
        <v>0</v>
      </c>
      <c r="J78" s="1062">
        <v>0</v>
      </c>
      <c r="K78" s="1065">
        <v>0</v>
      </c>
    </row>
    <row r="79" spans="1:24" s="982" customFormat="1" ht="13.5" customHeight="1" thickBot="1">
      <c r="A79" s="2069" t="s">
        <v>344</v>
      </c>
      <c r="B79" s="2100"/>
      <c r="C79" s="1066" t="s">
        <v>2</v>
      </c>
      <c r="D79" s="1044">
        <v>0</v>
      </c>
      <c r="E79" s="1045">
        <v>0</v>
      </c>
      <c r="F79" s="1071">
        <v>0</v>
      </c>
      <c r="G79" s="1071">
        <v>0</v>
      </c>
      <c r="H79" s="1046">
        <v>0</v>
      </c>
      <c r="I79" s="1044">
        <v>0</v>
      </c>
      <c r="J79" s="1045">
        <v>0</v>
      </c>
      <c r="K79" s="1047">
        <v>0</v>
      </c>
    </row>
    <row r="80" spans="1:24" s="982" customFormat="1" ht="12.75" customHeight="1" thickBot="1">
      <c r="A80" s="2100"/>
      <c r="B80" s="2100"/>
      <c r="C80" s="996" t="s">
        <v>142</v>
      </c>
      <c r="D80" s="1050">
        <v>0</v>
      </c>
      <c r="E80" s="1051">
        <v>0</v>
      </c>
      <c r="F80" s="998">
        <v>0</v>
      </c>
      <c r="G80" s="998">
        <v>0</v>
      </c>
      <c r="H80" s="1053">
        <v>0</v>
      </c>
      <c r="I80" s="1050">
        <v>0</v>
      </c>
      <c r="J80" s="1051">
        <v>0</v>
      </c>
      <c r="K80" s="1054">
        <v>0</v>
      </c>
    </row>
    <row r="81" spans="1:23" s="982" customFormat="1" ht="12.75" customHeight="1" thickBot="1">
      <c r="A81" s="2100"/>
      <c r="B81" s="2100"/>
      <c r="C81" s="1006" t="s">
        <v>145</v>
      </c>
      <c r="D81" s="1056">
        <v>0</v>
      </c>
      <c r="E81" s="1057">
        <v>0</v>
      </c>
      <c r="F81" s="1057">
        <v>0</v>
      </c>
      <c r="G81" s="1007">
        <v>0</v>
      </c>
      <c r="H81" s="1053">
        <v>0</v>
      </c>
      <c r="I81" s="1056">
        <v>0</v>
      </c>
      <c r="J81" s="1057">
        <v>0</v>
      </c>
      <c r="K81" s="1060">
        <v>0</v>
      </c>
    </row>
    <row r="82" spans="1:23" s="982" customFormat="1" ht="12.75" customHeight="1" thickBot="1">
      <c r="A82" s="2100"/>
      <c r="B82" s="2100"/>
      <c r="C82" s="1006" t="s">
        <v>321</v>
      </c>
      <c r="D82" s="1056">
        <v>0</v>
      </c>
      <c r="E82" s="1062">
        <v>0</v>
      </c>
      <c r="F82" s="1072">
        <v>0</v>
      </c>
      <c r="G82" s="1007">
        <v>0</v>
      </c>
      <c r="H82" s="1076">
        <v>0</v>
      </c>
      <c r="I82" s="1056">
        <v>0</v>
      </c>
      <c r="J82" s="1062">
        <v>0</v>
      </c>
      <c r="K82" s="1060">
        <v>0</v>
      </c>
    </row>
    <row r="83" spans="1:23" s="982" customFormat="1">
      <c r="A83" s="2089" t="s">
        <v>135</v>
      </c>
      <c r="B83" s="2089"/>
      <c r="C83" s="1077" t="s">
        <v>147</v>
      </c>
      <c r="D83" s="1078">
        <v>3</v>
      </c>
      <c r="E83" s="1079">
        <v>1</v>
      </c>
      <c r="F83" s="1080">
        <v>1</v>
      </c>
      <c r="G83" s="1080">
        <f t="shared" ref="G83:G152" si="10">IF(D83="","",F83-D83)</f>
        <v>-2</v>
      </c>
      <c r="H83" s="1081">
        <f t="shared" ref="H83:H152" si="11">IF(E83="","",F83-E83)</f>
        <v>0</v>
      </c>
      <c r="I83" s="1078">
        <v>0</v>
      </c>
      <c r="J83" s="1079">
        <v>0</v>
      </c>
      <c r="K83" s="1082">
        <f t="shared" ref="K83:K152" si="12">IF(I83="","",J83-I83)</f>
        <v>0</v>
      </c>
    </row>
    <row r="84" spans="1:23" s="982" customFormat="1" ht="13.5" thickBot="1">
      <c r="A84" s="2100" t="s">
        <v>136</v>
      </c>
      <c r="B84" s="2100"/>
      <c r="C84" s="1083" t="s">
        <v>147</v>
      </c>
      <c r="D84" s="1084">
        <v>4</v>
      </c>
      <c r="E84" s="1085">
        <v>9</v>
      </c>
      <c r="F84" s="1086">
        <v>5</v>
      </c>
      <c r="G84" s="1086">
        <f t="shared" si="10"/>
        <v>1</v>
      </c>
      <c r="H84" s="1087">
        <f t="shared" si="11"/>
        <v>-4</v>
      </c>
      <c r="I84" s="1084">
        <v>6</v>
      </c>
      <c r="J84" s="1085">
        <v>8</v>
      </c>
      <c r="K84" s="1088">
        <f t="shared" si="12"/>
        <v>2</v>
      </c>
      <c r="W84" s="1009"/>
    </row>
    <row r="85" spans="1:23" s="982" customFormat="1" ht="12.75" customHeight="1" thickBot="1">
      <c r="A85" s="2097" t="s">
        <v>275</v>
      </c>
      <c r="B85" s="2097"/>
      <c r="C85" s="990" t="s">
        <v>147</v>
      </c>
      <c r="D85" s="1826"/>
      <c r="E85" s="1827">
        <f t="shared" ref="E85:F87" si="13">SUM(E88,E97,E94,E91,E100)</f>
        <v>1</v>
      </c>
      <c r="F85" s="1827">
        <f t="shared" si="13"/>
        <v>1</v>
      </c>
      <c r="G85" s="1827" t="str">
        <f t="shared" si="10"/>
        <v/>
      </c>
      <c r="H85" s="1828">
        <f t="shared" si="11"/>
        <v>0</v>
      </c>
      <c r="I85" s="1826"/>
      <c r="J85" s="1827">
        <f>SUM(J88,J97,J94,J91,J100)</f>
        <v>2</v>
      </c>
      <c r="K85" s="1829" t="str">
        <f t="shared" si="12"/>
        <v/>
      </c>
    </row>
    <row r="86" spans="1:23" s="982" customFormat="1" ht="13.5" thickBot="1">
      <c r="A86" s="2097"/>
      <c r="B86" s="2097"/>
      <c r="C86" s="996" t="s">
        <v>142</v>
      </c>
      <c r="D86" s="1830"/>
      <c r="E86" s="1831">
        <f t="shared" si="13"/>
        <v>0</v>
      </c>
      <c r="F86" s="1831">
        <f t="shared" si="13"/>
        <v>0</v>
      </c>
      <c r="G86" s="1832" t="str">
        <f t="shared" si="10"/>
        <v/>
      </c>
      <c r="H86" s="1833">
        <f t="shared" si="11"/>
        <v>0</v>
      </c>
      <c r="I86" s="1830"/>
      <c r="J86" s="1831">
        <f>SUM(J89,J98,J95,J92,J101)</f>
        <v>27</v>
      </c>
      <c r="K86" s="1834" t="str">
        <f t="shared" si="12"/>
        <v/>
      </c>
    </row>
    <row r="87" spans="1:23" s="982" customFormat="1" ht="13.5" thickBot="1">
      <c r="A87" s="2097"/>
      <c r="B87" s="2097"/>
      <c r="C87" s="1038" t="s">
        <v>321</v>
      </c>
      <c r="D87" s="1835"/>
      <c r="E87" s="1836">
        <f t="shared" si="13"/>
        <v>435</v>
      </c>
      <c r="F87" s="1837">
        <f t="shared" si="13"/>
        <v>468</v>
      </c>
      <c r="G87" s="1838" t="str">
        <f t="shared" si="10"/>
        <v/>
      </c>
      <c r="H87" s="1839">
        <f t="shared" si="11"/>
        <v>33</v>
      </c>
      <c r="I87" s="1835"/>
      <c r="J87" s="1840">
        <f>SUM(J90,J99,J96,J93,J102)</f>
        <v>339</v>
      </c>
      <c r="K87" s="1841" t="str">
        <f t="shared" si="12"/>
        <v/>
      </c>
    </row>
    <row r="88" spans="1:23" s="982" customFormat="1" ht="13.5" thickBot="1">
      <c r="A88" s="2089" t="s">
        <v>281</v>
      </c>
      <c r="B88" s="2089"/>
      <c r="C88" s="990" t="s">
        <v>2</v>
      </c>
      <c r="D88" s="1089"/>
      <c r="E88" s="992">
        <v>0</v>
      </c>
      <c r="F88" s="1045">
        <v>0</v>
      </c>
      <c r="G88" s="992"/>
      <c r="H88" s="1090">
        <f t="shared" si="11"/>
        <v>0</v>
      </c>
      <c r="I88" s="1089"/>
      <c r="J88" s="1045">
        <v>0</v>
      </c>
      <c r="K88" s="1047">
        <f t="shared" ref="K88:K102" si="14">IF(H88="","",I88-H88)</f>
        <v>0</v>
      </c>
    </row>
    <row r="89" spans="1:23" s="982" customFormat="1" ht="13.5" thickBot="1">
      <c r="A89" s="2089"/>
      <c r="B89" s="2089"/>
      <c r="C89" s="996" t="s">
        <v>142</v>
      </c>
      <c r="D89" s="1050"/>
      <c r="E89" s="1051">
        <v>0</v>
      </c>
      <c r="F89" s="1045">
        <v>0</v>
      </c>
      <c r="G89" s="1052"/>
      <c r="H89" s="1053">
        <f t="shared" si="11"/>
        <v>0</v>
      </c>
      <c r="I89" s="1050"/>
      <c r="J89" s="1045">
        <v>0</v>
      </c>
      <c r="K89" s="1054">
        <f t="shared" si="14"/>
        <v>0</v>
      </c>
    </row>
    <row r="90" spans="1:23" s="982" customFormat="1">
      <c r="A90" s="2089"/>
      <c r="B90" s="2089"/>
      <c r="C90" s="1038" t="s">
        <v>321</v>
      </c>
      <c r="D90" s="1061"/>
      <c r="E90" s="1062">
        <v>0</v>
      </c>
      <c r="F90" s="1062">
        <v>0</v>
      </c>
      <c r="G90" s="1063"/>
      <c r="H90" s="1064">
        <f t="shared" si="11"/>
        <v>0</v>
      </c>
      <c r="I90" s="1061"/>
      <c r="J90" s="1062">
        <v>0</v>
      </c>
      <c r="K90" s="1065">
        <f t="shared" si="14"/>
        <v>0</v>
      </c>
    </row>
    <row r="91" spans="1:23" s="982" customFormat="1">
      <c r="A91" s="2098" t="s">
        <v>286</v>
      </c>
      <c r="B91" s="2098"/>
      <c r="C91" s="1066" t="s">
        <v>2</v>
      </c>
      <c r="D91" s="1091"/>
      <c r="E91" s="1068">
        <v>0</v>
      </c>
      <c r="F91" s="1045">
        <v>0</v>
      </c>
      <c r="G91" s="1068"/>
      <c r="H91" s="1092">
        <f t="shared" si="11"/>
        <v>0</v>
      </c>
      <c r="I91" s="1091"/>
      <c r="J91" s="1815">
        <v>0</v>
      </c>
      <c r="K91" s="1093">
        <f t="shared" si="14"/>
        <v>0</v>
      </c>
      <c r="N91" s="1786"/>
    </row>
    <row r="92" spans="1:23" s="982" customFormat="1">
      <c r="A92" s="2098"/>
      <c r="B92" s="2098"/>
      <c r="C92" s="996" t="s">
        <v>142</v>
      </c>
      <c r="D92" s="1000"/>
      <c r="E92" s="1052">
        <v>0</v>
      </c>
      <c r="F92" s="1045">
        <v>0</v>
      </c>
      <c r="G92" s="1052"/>
      <c r="H92" s="1094">
        <f t="shared" si="11"/>
        <v>0</v>
      </c>
      <c r="I92" s="1000"/>
      <c r="J92" s="1815">
        <v>0</v>
      </c>
      <c r="K92" s="1023">
        <f t="shared" si="14"/>
        <v>0</v>
      </c>
    </row>
    <row r="93" spans="1:23" s="982" customFormat="1">
      <c r="A93" s="2098"/>
      <c r="B93" s="2098"/>
      <c r="C93" s="1038" t="s">
        <v>321</v>
      </c>
      <c r="D93" s="1095"/>
      <c r="E93" s="1063">
        <v>0</v>
      </c>
      <c r="F93" s="1062">
        <v>0</v>
      </c>
      <c r="G93" s="1063"/>
      <c r="H93" s="1096">
        <f t="shared" si="11"/>
        <v>0</v>
      </c>
      <c r="I93" s="1095"/>
      <c r="J93" s="1816">
        <v>0</v>
      </c>
      <c r="K93" s="1097">
        <f t="shared" si="14"/>
        <v>0</v>
      </c>
    </row>
    <row r="94" spans="1:23" s="982" customFormat="1">
      <c r="A94" s="2098" t="s">
        <v>85</v>
      </c>
      <c r="B94" s="2098"/>
      <c r="C94" s="1066" t="s">
        <v>2</v>
      </c>
      <c r="D94" s="1067"/>
      <c r="E94" s="1068">
        <f>Мероприятия_отчет!AH189</f>
        <v>1</v>
      </c>
      <c r="F94" s="1045">
        <f>Мероприятия_отчет!AM189</f>
        <v>1</v>
      </c>
      <c r="G94" s="1068" t="str">
        <f t="shared" si="10"/>
        <v/>
      </c>
      <c r="H94" s="1069">
        <f t="shared" si="11"/>
        <v>0</v>
      </c>
      <c r="I94" s="1067"/>
      <c r="J94" s="1815">
        <f>Мероприятия_план!AF103+Мероприятия_план!AF53</f>
        <v>2</v>
      </c>
      <c r="K94" s="1070">
        <f t="shared" si="14"/>
        <v>0</v>
      </c>
    </row>
    <row r="95" spans="1:23" s="982" customFormat="1" ht="13.5" customHeight="1">
      <c r="A95" s="2098"/>
      <c r="B95" s="2098"/>
      <c r="C95" s="996" t="s">
        <v>142</v>
      </c>
      <c r="D95" s="1098"/>
      <c r="E95" s="1051">
        <f>Мероприятия_отчет!T189</f>
        <v>0</v>
      </c>
      <c r="F95" s="1045">
        <f>Мероприятия_отчет!Y189</f>
        <v>0</v>
      </c>
      <c r="G95" s="1052" t="str">
        <f t="shared" si="10"/>
        <v/>
      </c>
      <c r="H95" s="1099">
        <f t="shared" si="11"/>
        <v>0</v>
      </c>
      <c r="I95" s="1098"/>
      <c r="J95" s="1815">
        <f>Мероприятия_план!S103+Мероприятия_план!S53</f>
        <v>27</v>
      </c>
      <c r="K95" s="1100">
        <f t="shared" si="14"/>
        <v>0</v>
      </c>
    </row>
    <row r="96" spans="1:23" s="982" customFormat="1">
      <c r="A96" s="2098"/>
      <c r="B96" s="2098"/>
      <c r="C96" s="1038" t="s">
        <v>321</v>
      </c>
      <c r="D96" s="1101"/>
      <c r="E96" s="1062">
        <f>Мероприятия_отчет!AI189</f>
        <v>435</v>
      </c>
      <c r="F96" s="1062">
        <f>Мероприятия_отчет!AN189</f>
        <v>468</v>
      </c>
      <c r="G96" s="1063" t="str">
        <f t="shared" si="10"/>
        <v/>
      </c>
      <c r="H96" s="1102">
        <f t="shared" si="11"/>
        <v>33</v>
      </c>
      <c r="I96" s="1101"/>
      <c r="J96" s="1816">
        <f>Мероприятия_план!AG103+Мероприятия_план!AG53</f>
        <v>339</v>
      </c>
      <c r="K96" s="1103">
        <f t="shared" si="14"/>
        <v>-33</v>
      </c>
      <c r="N96" s="1787"/>
    </row>
    <row r="97" spans="1:22" s="982" customFormat="1">
      <c r="A97" s="2098" t="s">
        <v>294</v>
      </c>
      <c r="B97" s="2098"/>
      <c r="C97" s="1066" t="s">
        <v>2</v>
      </c>
      <c r="D97" s="1091"/>
      <c r="E97" s="1068">
        <v>0</v>
      </c>
      <c r="F97" s="1045">
        <v>0</v>
      </c>
      <c r="G97" s="1068"/>
      <c r="H97" s="1092">
        <f t="shared" si="11"/>
        <v>0</v>
      </c>
      <c r="I97" s="1091"/>
      <c r="J97" s="1817">
        <v>0</v>
      </c>
      <c r="K97" s="1093">
        <f t="shared" si="14"/>
        <v>0</v>
      </c>
      <c r="N97" s="1786"/>
    </row>
    <row r="98" spans="1:22" s="982" customFormat="1">
      <c r="A98" s="2098"/>
      <c r="B98" s="2098"/>
      <c r="C98" s="996" t="s">
        <v>142</v>
      </c>
      <c r="D98" s="1000"/>
      <c r="E98" s="1051">
        <v>0</v>
      </c>
      <c r="F98" s="1045">
        <v>0</v>
      </c>
      <c r="G98" s="1052"/>
      <c r="H98" s="1094">
        <f t="shared" si="11"/>
        <v>0</v>
      </c>
      <c r="I98" s="1000"/>
      <c r="J98" s="1815">
        <v>0</v>
      </c>
      <c r="K98" s="1023">
        <f t="shared" si="14"/>
        <v>0</v>
      </c>
      <c r="N98" s="1787"/>
    </row>
    <row r="99" spans="1:22" s="982" customFormat="1">
      <c r="A99" s="2099"/>
      <c r="B99" s="2099"/>
      <c r="C99" s="1006" t="s">
        <v>321</v>
      </c>
      <c r="D99" s="1008"/>
      <c r="E99" s="1057">
        <v>0</v>
      </c>
      <c r="F99" s="1057">
        <v>0</v>
      </c>
      <c r="G99" s="1058"/>
      <c r="H99" s="1842">
        <f t="shared" si="11"/>
        <v>0</v>
      </c>
      <c r="I99" s="1008"/>
      <c r="J99" s="1843">
        <v>0</v>
      </c>
      <c r="K99" s="1793">
        <f t="shared" si="14"/>
        <v>0</v>
      </c>
    </row>
    <row r="100" spans="1:22" s="982" customFormat="1" ht="13.5" thickBot="1">
      <c r="A100" s="2062" t="s">
        <v>311</v>
      </c>
      <c r="B100" s="2062"/>
      <c r="C100" s="1066" t="s">
        <v>2</v>
      </c>
      <c r="D100" s="1067"/>
      <c r="E100" s="1068">
        <v>0</v>
      </c>
      <c r="F100" s="1123">
        <v>0</v>
      </c>
      <c r="G100" s="1123"/>
      <c r="H100" s="1069">
        <f t="shared" si="11"/>
        <v>0</v>
      </c>
      <c r="I100" s="1067"/>
      <c r="J100" s="1068">
        <v>0</v>
      </c>
      <c r="K100" s="1070">
        <f t="shared" si="14"/>
        <v>0</v>
      </c>
    </row>
    <row r="101" spans="1:22" s="982" customFormat="1" ht="13.5" thickBot="1">
      <c r="A101" s="2063"/>
      <c r="B101" s="2063"/>
      <c r="C101" s="996" t="s">
        <v>142</v>
      </c>
      <c r="D101" s="1098"/>
      <c r="E101" s="1051">
        <v>0</v>
      </c>
      <c r="F101" s="1052">
        <v>0</v>
      </c>
      <c r="G101" s="1052"/>
      <c r="H101" s="1099">
        <f t="shared" si="11"/>
        <v>0</v>
      </c>
      <c r="I101" s="1098"/>
      <c r="J101" s="1051">
        <v>0</v>
      </c>
      <c r="K101" s="1100">
        <f t="shared" si="14"/>
        <v>0</v>
      </c>
    </row>
    <row r="102" spans="1:22" s="982" customFormat="1" ht="13.5" thickBot="1">
      <c r="A102" s="2063"/>
      <c r="B102" s="2063"/>
      <c r="C102" s="1010" t="s">
        <v>321</v>
      </c>
      <c r="D102" s="1105"/>
      <c r="E102" s="1106">
        <v>0</v>
      </c>
      <c r="F102" s="1107">
        <v>0</v>
      </c>
      <c r="G102" s="1107"/>
      <c r="H102" s="1108">
        <f t="shared" si="11"/>
        <v>0</v>
      </c>
      <c r="I102" s="1105"/>
      <c r="J102" s="1106">
        <v>0</v>
      </c>
      <c r="K102" s="1109">
        <f t="shared" si="14"/>
        <v>0</v>
      </c>
    </row>
    <row r="103" spans="1:22" s="982" customFormat="1" ht="12.75" customHeight="1" thickBot="1">
      <c r="A103" s="2081" t="s">
        <v>276</v>
      </c>
      <c r="B103" s="2081"/>
      <c r="C103" s="1967" t="s">
        <v>2</v>
      </c>
      <c r="D103" s="1968"/>
      <c r="E103" s="1969">
        <f>Мероприятия_отчет!BR162+Мероприятия_отчет!BR188</f>
        <v>1</v>
      </c>
      <c r="F103" s="1969">
        <f>Мероприятия_отчет!BT162+Мероприятия_отчет!BT188</f>
        <v>1</v>
      </c>
      <c r="G103" s="1969" t="str">
        <f t="shared" si="10"/>
        <v/>
      </c>
      <c r="H103" s="1970">
        <f t="shared" si="11"/>
        <v>0</v>
      </c>
      <c r="I103" s="1968"/>
      <c r="J103" s="1969">
        <f>Мероприятия_план!BP52+Мероприятия_план!BP102</f>
        <v>4</v>
      </c>
      <c r="K103" s="1971" t="str">
        <f>IF(I103="","",J103-I103)</f>
        <v/>
      </c>
    </row>
    <row r="104" spans="1:22" s="982" customFormat="1" ht="13.5" thickBot="1">
      <c r="A104" s="2081"/>
      <c r="B104" s="2081"/>
      <c r="C104" s="1972" t="s">
        <v>142</v>
      </c>
      <c r="D104" s="1973"/>
      <c r="E104" s="1974">
        <f>Мероприятия_отчет!BR163+Мероприятия_отчет!BR189</f>
        <v>15.5</v>
      </c>
      <c r="F104" s="1974">
        <f>Мероприятия_отчет!BT163+Мероприятия_отчет!BT189</f>
        <v>10</v>
      </c>
      <c r="G104" s="1975" t="str">
        <f t="shared" si="10"/>
        <v/>
      </c>
      <c r="H104" s="1976">
        <f t="shared" si="11"/>
        <v>-5.5</v>
      </c>
      <c r="I104" s="1973"/>
      <c r="J104" s="1974">
        <f>Мероприятия_план!BP53+Мероприятия_план!BP103</f>
        <v>146.5</v>
      </c>
      <c r="K104" s="1977" t="str">
        <f t="shared" si="12"/>
        <v/>
      </c>
      <c r="M104" s="1009"/>
    </row>
    <row r="105" spans="1:22" s="982" customFormat="1" ht="13.5" thickBot="1">
      <c r="A105" s="2081"/>
      <c r="B105" s="2081"/>
      <c r="C105" s="1961" t="s">
        <v>321</v>
      </c>
      <c r="D105" s="1978"/>
      <c r="E105" s="1979">
        <f>Мероприятия_отчет!BS163+Мероприятия_отчет!BS189</f>
        <v>310</v>
      </c>
      <c r="F105" s="1980">
        <f>Мероприятия_отчет!BU163+Мероприятия_отчет!BU189</f>
        <v>170</v>
      </c>
      <c r="G105" s="1981" t="str">
        <f t="shared" si="10"/>
        <v/>
      </c>
      <c r="H105" s="1982">
        <f t="shared" si="11"/>
        <v>-140</v>
      </c>
      <c r="I105" s="1978"/>
      <c r="J105" s="1983">
        <f>Мероприятия_план!BQ53+Мероприятия_план!BQ103</f>
        <v>2975</v>
      </c>
      <c r="K105" s="1984" t="str">
        <f t="shared" si="12"/>
        <v/>
      </c>
      <c r="M105" s="1009"/>
    </row>
    <row r="106" spans="1:22" s="982" customFormat="1" ht="13.5" thickBot="1">
      <c r="A106" s="2088" t="s">
        <v>330</v>
      </c>
      <c r="B106" s="2088"/>
      <c r="C106" s="1946"/>
      <c r="D106" s="1945"/>
      <c r="E106" s="1111"/>
      <c r="F106" s="1111"/>
      <c r="G106" s="1111" t="str">
        <f t="shared" si="10"/>
        <v/>
      </c>
      <c r="H106" s="1112" t="str">
        <f t="shared" si="11"/>
        <v/>
      </c>
      <c r="I106" s="1110"/>
      <c r="J106" s="1111"/>
      <c r="K106" s="1113" t="str">
        <f t="shared" si="12"/>
        <v/>
      </c>
      <c r="N106" s="1024"/>
    </row>
    <row r="107" spans="1:22" s="982" customFormat="1" ht="13.5" thickBot="1">
      <c r="A107" s="2089" t="s">
        <v>148</v>
      </c>
      <c r="B107" s="2089"/>
      <c r="C107" s="1043" t="s">
        <v>2</v>
      </c>
      <c r="D107" s="1114"/>
      <c r="E107" s="992">
        <v>14</v>
      </c>
      <c r="F107" s="992">
        <v>15</v>
      </c>
      <c r="G107" s="1115" t="str">
        <f t="shared" si="10"/>
        <v/>
      </c>
      <c r="H107" s="1116">
        <f t="shared" si="11"/>
        <v>1</v>
      </c>
      <c r="I107" s="1114"/>
      <c r="J107" s="992">
        <v>14</v>
      </c>
      <c r="K107" s="1117" t="str">
        <f t="shared" si="12"/>
        <v/>
      </c>
      <c r="M107" s="1049"/>
    </row>
    <row r="108" spans="1:22" s="982" customFormat="1" ht="13.5" thickBot="1">
      <c r="A108" s="2089"/>
      <c r="B108" s="2089"/>
      <c r="C108" s="1006" t="s">
        <v>142</v>
      </c>
      <c r="D108" s="1118"/>
      <c r="E108" s="1045">
        <v>395</v>
      </c>
      <c r="F108" s="1045">
        <v>398</v>
      </c>
      <c r="G108" s="1104" t="str">
        <f t="shared" si="10"/>
        <v/>
      </c>
      <c r="H108" s="1119">
        <f t="shared" si="11"/>
        <v>3</v>
      </c>
      <c r="I108" s="1118"/>
      <c r="J108" s="1045">
        <v>372</v>
      </c>
      <c r="K108" s="1120" t="str">
        <f t="shared" si="12"/>
        <v/>
      </c>
      <c r="M108" s="1049"/>
    </row>
    <row r="109" spans="1:22" s="982" customFormat="1">
      <c r="A109" s="2090"/>
      <c r="B109" s="2090"/>
      <c r="C109" s="1006" t="s">
        <v>321</v>
      </c>
      <c r="D109" s="1056"/>
      <c r="E109" s="1057">
        <v>7095</v>
      </c>
      <c r="F109" s="1057">
        <v>3146</v>
      </c>
      <c r="G109" s="1058" t="str">
        <f t="shared" si="10"/>
        <v/>
      </c>
      <c r="H109" s="1950">
        <f t="shared" si="11"/>
        <v>-3949</v>
      </c>
      <c r="I109" s="1056"/>
      <c r="J109" s="1057">
        <f>'Сетевой график (план)'!AI53</f>
        <v>5394</v>
      </c>
      <c r="K109" s="1060" t="str">
        <f t="shared" si="12"/>
        <v/>
      </c>
      <c r="M109" s="1049"/>
      <c r="N109" s="1009"/>
      <c r="U109" s="1049"/>
      <c r="V109" s="1049"/>
    </row>
    <row r="110" spans="1:22" s="982" customFormat="1">
      <c r="A110" s="2091" t="s">
        <v>149</v>
      </c>
      <c r="B110" s="2091"/>
      <c r="C110" s="1066" t="s">
        <v>2</v>
      </c>
      <c r="D110" s="1122"/>
      <c r="E110" s="1068">
        <v>16</v>
      </c>
      <c r="F110" s="1068">
        <v>15</v>
      </c>
      <c r="G110" s="1123" t="str">
        <f t="shared" si="10"/>
        <v/>
      </c>
      <c r="H110" s="1955">
        <f t="shared" si="11"/>
        <v>-1</v>
      </c>
      <c r="I110" s="1122"/>
      <c r="J110" s="1068">
        <v>14</v>
      </c>
      <c r="K110" s="1124" t="str">
        <f t="shared" si="12"/>
        <v/>
      </c>
      <c r="M110" s="1049"/>
    </row>
    <row r="111" spans="1:22" s="982" customFormat="1">
      <c r="A111" s="2092"/>
      <c r="B111" s="2092"/>
      <c r="C111" s="996" t="s">
        <v>142</v>
      </c>
      <c r="D111" s="1050"/>
      <c r="E111" s="1051">
        <v>407.09677420000003</v>
      </c>
      <c r="F111" s="1051">
        <v>436</v>
      </c>
      <c r="G111" s="1052" t="str">
        <f t="shared" si="10"/>
        <v/>
      </c>
      <c r="H111" s="1053">
        <f t="shared" si="11"/>
        <v>28.903225799999973</v>
      </c>
      <c r="I111" s="1050"/>
      <c r="J111" s="1051">
        <v>345</v>
      </c>
      <c r="K111" s="1054" t="str">
        <f t="shared" si="12"/>
        <v/>
      </c>
      <c r="M111" s="1049"/>
    </row>
    <row r="112" spans="1:22" s="982" customFormat="1">
      <c r="A112" s="2093"/>
      <c r="B112" s="2093"/>
      <c r="C112" s="1038" t="s">
        <v>321</v>
      </c>
      <c r="D112" s="1061"/>
      <c r="E112" s="1062">
        <v>5846.9032257999997</v>
      </c>
      <c r="F112" s="1063">
        <v>1928</v>
      </c>
      <c r="G112" s="1063" t="str">
        <f t="shared" si="10"/>
        <v/>
      </c>
      <c r="H112" s="1064">
        <f t="shared" si="11"/>
        <v>-3918.9032257999997</v>
      </c>
      <c r="I112" s="1061"/>
      <c r="J112" s="1062">
        <f>'Сетевой график (план)'!AI35</f>
        <v>5002.5</v>
      </c>
      <c r="K112" s="1065" t="str">
        <f t="shared" si="12"/>
        <v/>
      </c>
      <c r="M112" s="1049"/>
      <c r="U112" s="1049"/>
      <c r="V112" s="1049"/>
    </row>
    <row r="113" spans="1:11" s="982" customFormat="1">
      <c r="A113" s="2094" t="s">
        <v>150</v>
      </c>
      <c r="B113" s="2094"/>
      <c r="C113" s="1043" t="s">
        <v>2</v>
      </c>
      <c r="D113" s="1951"/>
      <c r="E113" s="1951">
        <f t="shared" ref="E113:F115" si="15">E110-E107</f>
        <v>2</v>
      </c>
      <c r="F113" s="1951">
        <f t="shared" si="15"/>
        <v>0</v>
      </c>
      <c r="G113" s="1951" t="str">
        <f t="shared" si="10"/>
        <v/>
      </c>
      <c r="H113" s="1952">
        <f t="shared" si="11"/>
        <v>-2</v>
      </c>
      <c r="I113" s="1953"/>
      <c r="J113" s="1951">
        <f>J110-J107</f>
        <v>0</v>
      </c>
      <c r="K113" s="1954" t="str">
        <f t="shared" si="12"/>
        <v/>
      </c>
    </row>
    <row r="114" spans="1:11" s="982" customFormat="1">
      <c r="A114" s="2095"/>
      <c r="B114" s="2095"/>
      <c r="C114" s="996" t="s">
        <v>142</v>
      </c>
      <c r="D114" s="1032"/>
      <c r="E114" s="1032">
        <f t="shared" si="15"/>
        <v>12.096774200000027</v>
      </c>
      <c r="F114" s="1033">
        <f t="shared" si="15"/>
        <v>38</v>
      </c>
      <c r="G114" s="1033" t="str">
        <f t="shared" si="10"/>
        <v/>
      </c>
      <c r="H114" s="1034">
        <f t="shared" si="11"/>
        <v>25.903225799999973</v>
      </c>
      <c r="I114" s="1073"/>
      <c r="J114" s="1032">
        <f>J111-J108</f>
        <v>-27</v>
      </c>
      <c r="K114" s="1035" t="str">
        <f t="shared" si="12"/>
        <v/>
      </c>
    </row>
    <row r="115" spans="1:11" s="982" customFormat="1">
      <c r="A115" s="2095"/>
      <c r="B115" s="2095"/>
      <c r="C115" s="1038" t="s">
        <v>321</v>
      </c>
      <c r="D115" s="1039"/>
      <c r="E115" s="1039">
        <f t="shared" si="15"/>
        <v>-1248.0967742000003</v>
      </c>
      <c r="F115" s="1040">
        <f t="shared" si="15"/>
        <v>-1218</v>
      </c>
      <c r="G115" s="1040" t="str">
        <f t="shared" si="10"/>
        <v/>
      </c>
      <c r="H115" s="1041">
        <f t="shared" si="11"/>
        <v>30.096774200000254</v>
      </c>
      <c r="I115" s="1075"/>
      <c r="J115" s="1039">
        <f>J112-J109</f>
        <v>-391.5</v>
      </c>
      <c r="K115" s="1042" t="str">
        <f t="shared" si="12"/>
        <v/>
      </c>
    </row>
    <row r="116" spans="1:11" s="982" customFormat="1">
      <c r="A116" s="2075" t="s">
        <v>336</v>
      </c>
      <c r="B116" s="2076"/>
      <c r="C116" s="1985" t="s">
        <v>2</v>
      </c>
      <c r="D116" s="1986"/>
      <c r="E116" s="1987">
        <v>5</v>
      </c>
      <c r="F116" s="1987">
        <v>5</v>
      </c>
      <c r="G116" s="1988"/>
      <c r="H116" s="1989">
        <f t="shared" si="11"/>
        <v>0</v>
      </c>
      <c r="I116" s="1986"/>
      <c r="J116" s="1987">
        <v>5</v>
      </c>
      <c r="K116" s="1990"/>
    </row>
    <row r="117" spans="1:11" s="982" customFormat="1">
      <c r="A117" s="2077"/>
      <c r="B117" s="2077"/>
      <c r="C117" s="1972" t="s">
        <v>142</v>
      </c>
      <c r="D117" s="1991"/>
      <c r="E117" s="1992">
        <v>20</v>
      </c>
      <c r="F117" s="1992">
        <v>20</v>
      </c>
      <c r="G117" s="1993"/>
      <c r="H117" s="1994">
        <f t="shared" si="11"/>
        <v>0</v>
      </c>
      <c r="I117" s="1991"/>
      <c r="J117" s="1992">
        <v>20</v>
      </c>
      <c r="K117" s="1995"/>
    </row>
    <row r="118" spans="1:11" s="982" customFormat="1">
      <c r="A118" s="2078"/>
      <c r="B118" s="2078"/>
      <c r="C118" s="1996" t="s">
        <v>321</v>
      </c>
      <c r="D118" s="1997"/>
      <c r="E118" s="1998">
        <v>120</v>
      </c>
      <c r="F118" s="1998">
        <v>120</v>
      </c>
      <c r="G118" s="1999"/>
      <c r="H118" s="2000">
        <f t="shared" si="11"/>
        <v>0</v>
      </c>
      <c r="I118" s="1997"/>
      <c r="J118" s="1998">
        <v>120</v>
      </c>
      <c r="K118" s="2001"/>
    </row>
    <row r="119" spans="1:11" s="982" customFormat="1">
      <c r="A119" s="2075" t="s">
        <v>335</v>
      </c>
      <c r="B119" s="2076"/>
      <c r="C119" s="1985" t="s">
        <v>2</v>
      </c>
      <c r="D119" s="1986"/>
      <c r="E119" s="1987">
        <v>6</v>
      </c>
      <c r="F119" s="1987">
        <v>6</v>
      </c>
      <c r="G119" s="1988"/>
      <c r="H119" s="1989">
        <f t="shared" si="11"/>
        <v>0</v>
      </c>
      <c r="I119" s="1986"/>
      <c r="J119" s="1987">
        <v>6</v>
      </c>
      <c r="K119" s="1990"/>
    </row>
    <row r="120" spans="1:11" s="982" customFormat="1">
      <c r="A120" s="2077"/>
      <c r="B120" s="2077"/>
      <c r="C120" s="1972" t="s">
        <v>142</v>
      </c>
      <c r="D120" s="1991"/>
      <c r="E120" s="1992">
        <v>10</v>
      </c>
      <c r="F120" s="1992">
        <v>10</v>
      </c>
      <c r="G120" s="1993"/>
      <c r="H120" s="1994">
        <f t="shared" si="11"/>
        <v>0</v>
      </c>
      <c r="I120" s="1991"/>
      <c r="J120" s="1992">
        <v>10</v>
      </c>
      <c r="K120" s="1995"/>
    </row>
    <row r="121" spans="1:11" s="982" customFormat="1">
      <c r="A121" s="2078"/>
      <c r="B121" s="2078"/>
      <c r="C121" s="1996" t="s">
        <v>321</v>
      </c>
      <c r="D121" s="1997"/>
      <c r="E121" s="1998">
        <v>380</v>
      </c>
      <c r="F121" s="1998">
        <v>380</v>
      </c>
      <c r="G121" s="1999"/>
      <c r="H121" s="2000">
        <f t="shared" si="11"/>
        <v>0</v>
      </c>
      <c r="I121" s="1997"/>
      <c r="J121" s="1998">
        <v>380</v>
      </c>
      <c r="K121" s="2001"/>
    </row>
    <row r="122" spans="1:11" s="982" customFormat="1">
      <c r="A122" s="2079" t="s">
        <v>334</v>
      </c>
      <c r="B122" s="2079"/>
      <c r="C122" s="2002" t="s">
        <v>2</v>
      </c>
      <c r="D122" s="2003"/>
      <c r="E122" s="2003">
        <f t="shared" ref="E122:F124" si="16">E119-E116</f>
        <v>1</v>
      </c>
      <c r="F122" s="2003">
        <f t="shared" si="16"/>
        <v>1</v>
      </c>
      <c r="G122" s="2003"/>
      <c r="H122" s="2004">
        <f t="shared" si="11"/>
        <v>0</v>
      </c>
      <c r="I122" s="2005"/>
      <c r="J122" s="2003">
        <f>J119-J116</f>
        <v>1</v>
      </c>
      <c r="K122" s="2006"/>
    </row>
    <row r="123" spans="1:11" s="982" customFormat="1">
      <c r="A123" s="2080"/>
      <c r="B123" s="2080"/>
      <c r="C123" s="1972" t="s">
        <v>142</v>
      </c>
      <c r="D123" s="1974"/>
      <c r="E123" s="1974">
        <f t="shared" si="16"/>
        <v>-10</v>
      </c>
      <c r="F123" s="1975">
        <f t="shared" si="16"/>
        <v>-10</v>
      </c>
      <c r="G123" s="1975"/>
      <c r="H123" s="2007">
        <f t="shared" si="11"/>
        <v>0</v>
      </c>
      <c r="I123" s="2008"/>
      <c r="J123" s="1975">
        <f>J120-J117</f>
        <v>-10</v>
      </c>
      <c r="K123" s="1977"/>
    </row>
    <row r="124" spans="1:11" s="982" customFormat="1">
      <c r="A124" s="2080"/>
      <c r="B124" s="2080"/>
      <c r="C124" s="1996" t="s">
        <v>321</v>
      </c>
      <c r="D124" s="1979"/>
      <c r="E124" s="1979">
        <f t="shared" si="16"/>
        <v>260</v>
      </c>
      <c r="F124" s="1981">
        <f t="shared" si="16"/>
        <v>260</v>
      </c>
      <c r="G124" s="1981"/>
      <c r="H124" s="2009">
        <f t="shared" si="11"/>
        <v>0</v>
      </c>
      <c r="I124" s="2010"/>
      <c r="J124" s="1981">
        <f>J121-J118</f>
        <v>260</v>
      </c>
      <c r="K124" s="2011"/>
    </row>
    <row r="125" spans="1:11" s="982" customFormat="1" ht="13.5" thickBot="1">
      <c r="A125" s="2096" t="s">
        <v>347</v>
      </c>
      <c r="B125" s="2096"/>
      <c r="C125" s="1128" t="s">
        <v>2</v>
      </c>
      <c r="D125" s="1129"/>
      <c r="E125" s="1127">
        <v>0</v>
      </c>
      <c r="F125" s="1130">
        <v>0</v>
      </c>
      <c r="G125" s="1130" t="str">
        <f t="shared" si="10"/>
        <v/>
      </c>
      <c r="H125" s="1131">
        <f t="shared" si="11"/>
        <v>0</v>
      </c>
      <c r="I125" s="1129"/>
      <c r="J125" s="1132">
        <v>0</v>
      </c>
      <c r="K125" s="1124" t="str">
        <f t="shared" si="12"/>
        <v/>
      </c>
    </row>
    <row r="126" spans="1:11" s="982" customFormat="1" ht="13.5" thickBot="1">
      <c r="A126" s="2096"/>
      <c r="B126" s="2096"/>
      <c r="C126" s="1608" t="s">
        <v>142</v>
      </c>
      <c r="D126" s="1609"/>
      <c r="E126" s="1610">
        <v>0</v>
      </c>
      <c r="F126" s="1611">
        <v>0</v>
      </c>
      <c r="G126" s="1611" t="str">
        <f t="shared" si="10"/>
        <v/>
      </c>
      <c r="H126" s="1612">
        <f t="shared" si="11"/>
        <v>0</v>
      </c>
      <c r="I126" s="1609"/>
      <c r="J126" s="1613">
        <v>0</v>
      </c>
      <c r="K126" s="1126" t="str">
        <f t="shared" si="12"/>
        <v/>
      </c>
    </row>
    <row r="127" spans="1:11" s="982" customFormat="1" ht="13.5" thickBot="1">
      <c r="A127" s="2096"/>
      <c r="B127" s="2096"/>
      <c r="C127" s="1958" t="s">
        <v>321</v>
      </c>
      <c r="D127" s="1074"/>
      <c r="E127" s="1037">
        <v>0</v>
      </c>
      <c r="F127" s="1037">
        <v>0</v>
      </c>
      <c r="G127" s="1037" t="str">
        <f t="shared" si="10"/>
        <v/>
      </c>
      <c r="H127" s="1133">
        <f t="shared" si="11"/>
        <v>0</v>
      </c>
      <c r="I127" s="1074"/>
      <c r="J127" s="1121">
        <v>0</v>
      </c>
      <c r="K127" s="1060" t="str">
        <f t="shared" si="12"/>
        <v/>
      </c>
    </row>
    <row r="128" spans="1:11" s="982" customFormat="1" ht="13.5" thickBot="1">
      <c r="A128" s="2057" t="s">
        <v>329</v>
      </c>
      <c r="B128" s="2057"/>
      <c r="C128" s="2012"/>
      <c r="D128" s="1150"/>
      <c r="E128" s="1151"/>
      <c r="F128" s="1151"/>
      <c r="G128" s="1151"/>
      <c r="H128" s="1152"/>
      <c r="I128" s="1153"/>
      <c r="J128" s="1151"/>
      <c r="K128" s="1154"/>
    </row>
    <row r="129" spans="1:21" s="982" customFormat="1" ht="12.75" customHeight="1" thickBot="1">
      <c r="A129" s="2060" t="s">
        <v>338</v>
      </c>
      <c r="B129" s="2060"/>
      <c r="C129" s="990" t="s">
        <v>2</v>
      </c>
      <c r="D129" s="1134">
        <v>321</v>
      </c>
      <c r="E129" s="1135">
        <v>325</v>
      </c>
      <c r="F129" s="1136">
        <f>322+8-F131+F27+F35+F43+F47-1-1</f>
        <v>327</v>
      </c>
      <c r="G129" s="1135">
        <f t="shared" si="10"/>
        <v>6</v>
      </c>
      <c r="H129" s="1137">
        <f t="shared" si="11"/>
        <v>2</v>
      </c>
      <c r="I129" s="1138">
        <v>323</v>
      </c>
      <c r="J129" s="1136">
        <v>328</v>
      </c>
      <c r="K129" s="1139">
        <f t="shared" si="12"/>
        <v>5</v>
      </c>
      <c r="L129" s="1009"/>
      <c r="M129" s="1009"/>
      <c r="N129" s="1009"/>
      <c r="O129" s="1009"/>
      <c r="U129" s="1009"/>
    </row>
    <row r="130" spans="1:21" s="982" customFormat="1">
      <c r="A130" s="2060"/>
      <c r="B130" s="2060"/>
      <c r="C130" s="1038" t="s">
        <v>142</v>
      </c>
      <c r="D130" s="1140">
        <v>8189.5806451612907</v>
      </c>
      <c r="E130" s="1072">
        <f>E154-E151</f>
        <v>8293.7967742000001</v>
      </c>
      <c r="F130" s="1072">
        <f>F154-F151</f>
        <v>8365</v>
      </c>
      <c r="G130" s="1072">
        <f t="shared" si="10"/>
        <v>175.4193548387093</v>
      </c>
      <c r="H130" s="1096">
        <f t="shared" si="11"/>
        <v>71.203225799999927</v>
      </c>
      <c r="I130" s="1141">
        <v>8631.8214285714294</v>
      </c>
      <c r="J130" s="1072">
        <f>J154-J151</f>
        <v>8436</v>
      </c>
      <c r="K130" s="1142">
        <f t="shared" si="12"/>
        <v>-195.82142857142935</v>
      </c>
      <c r="L130" s="1009"/>
      <c r="M130" s="1009"/>
      <c r="N130" s="1009"/>
    </row>
    <row r="131" spans="1:21" s="982" customFormat="1" ht="12.75" customHeight="1">
      <c r="A131" s="2061" t="s">
        <v>339</v>
      </c>
      <c r="B131" s="2061"/>
      <c r="C131" s="1066" t="s">
        <v>2</v>
      </c>
      <c r="D131" s="1091">
        <v>4</v>
      </c>
      <c r="E131" s="1143">
        <v>6</v>
      </c>
      <c r="F131" s="1790">
        <v>3</v>
      </c>
      <c r="G131" s="1143">
        <f t="shared" si="10"/>
        <v>-1</v>
      </c>
      <c r="H131" s="1092">
        <f t="shared" si="11"/>
        <v>-3</v>
      </c>
      <c r="I131" s="1091">
        <v>4</v>
      </c>
      <c r="J131" s="1143">
        <f>J107+F131-J110</f>
        <v>3</v>
      </c>
      <c r="K131" s="1144">
        <f t="shared" si="12"/>
        <v>-1</v>
      </c>
    </row>
    <row r="132" spans="1:21" s="982" customFormat="1">
      <c r="A132" s="2061"/>
      <c r="B132" s="2061"/>
      <c r="C132" s="1038" t="s">
        <v>142</v>
      </c>
      <c r="D132" s="1095">
        <v>116</v>
      </c>
      <c r="E132" s="1072">
        <v>95</v>
      </c>
      <c r="F132" s="1072">
        <v>51</v>
      </c>
      <c r="G132" s="1072">
        <f t="shared" si="10"/>
        <v>-65</v>
      </c>
      <c r="H132" s="1096">
        <f t="shared" si="11"/>
        <v>-44</v>
      </c>
      <c r="I132" s="1095">
        <f>23.4+9+37.1+44.9</f>
        <v>114.4</v>
      </c>
      <c r="J132" s="1072">
        <f>J108+F132-J111</f>
        <v>78</v>
      </c>
      <c r="K132" s="1142">
        <f t="shared" si="12"/>
        <v>-36.400000000000006</v>
      </c>
    </row>
    <row r="133" spans="1:21" s="982" customFormat="1" ht="12.75" customHeight="1" thickBot="1">
      <c r="A133" s="2069" t="s">
        <v>340</v>
      </c>
      <c r="B133" s="2069"/>
      <c r="C133" s="1043" t="s">
        <v>2</v>
      </c>
      <c r="D133" s="1146">
        <v>13</v>
      </c>
      <c r="E133" s="1071">
        <v>16</v>
      </c>
      <c r="F133" s="1071">
        <v>17</v>
      </c>
      <c r="G133" s="1071">
        <f t="shared" si="10"/>
        <v>4</v>
      </c>
      <c r="H133" s="1145">
        <f t="shared" si="11"/>
        <v>1</v>
      </c>
      <c r="I133" s="1146">
        <v>12</v>
      </c>
      <c r="J133" s="1071">
        <v>17</v>
      </c>
      <c r="K133" s="1147">
        <f t="shared" si="12"/>
        <v>5</v>
      </c>
    </row>
    <row r="134" spans="1:21" s="982" customFormat="1" ht="13.5" thickBot="1">
      <c r="A134" s="2069"/>
      <c r="B134" s="2069"/>
      <c r="C134" s="1010" t="s">
        <v>142</v>
      </c>
      <c r="D134" s="1148">
        <v>282.8</v>
      </c>
      <c r="E134" s="1011">
        <v>387</v>
      </c>
      <c r="F134" s="1011">
        <f>391-2.3-2+9.07</f>
        <v>395.77</v>
      </c>
      <c r="G134" s="1011">
        <f t="shared" si="10"/>
        <v>112.96999999999997</v>
      </c>
      <c r="H134" s="1149">
        <f t="shared" si="11"/>
        <v>8.7699999999999818</v>
      </c>
      <c r="I134" s="1148">
        <f>34.1+39.8+0.8+2.1+0+28.9+4+4.4+21+150-2.3-9</f>
        <v>273.8</v>
      </c>
      <c r="J134" s="1011">
        <f>391-2.3-2+9.07</f>
        <v>395.77</v>
      </c>
      <c r="K134" s="1012">
        <f t="shared" si="12"/>
        <v>121.96999999999997</v>
      </c>
    </row>
    <row r="135" spans="1:21" s="982" customFormat="1" ht="13.5" thickBot="1">
      <c r="A135" s="2058" t="s">
        <v>337</v>
      </c>
      <c r="B135" s="2058"/>
      <c r="C135" s="2002" t="s">
        <v>2</v>
      </c>
      <c r="D135" s="2014"/>
      <c r="E135" s="2015"/>
      <c r="F135" s="2015"/>
      <c r="G135" s="2015"/>
      <c r="H135" s="2016"/>
      <c r="I135" s="2014"/>
      <c r="J135" s="2015"/>
      <c r="K135" s="2017"/>
    </row>
    <row r="136" spans="1:21" s="982" customFormat="1" ht="13.5" thickBot="1">
      <c r="A136" s="2058"/>
      <c r="B136" s="2058"/>
      <c r="C136" s="2018" t="s">
        <v>142</v>
      </c>
      <c r="D136" s="2019"/>
      <c r="E136" s="2020"/>
      <c r="F136" s="2020"/>
      <c r="G136" s="2020"/>
      <c r="H136" s="2013"/>
      <c r="I136" s="2019"/>
      <c r="J136" s="2020"/>
      <c r="K136" s="2021"/>
    </row>
    <row r="137" spans="1:21" s="982" customFormat="1" ht="13.5" thickBot="1">
      <c r="A137" s="2058" t="s">
        <v>343</v>
      </c>
      <c r="B137" s="2058"/>
      <c r="C137" s="2002" t="s">
        <v>2</v>
      </c>
      <c r="D137" s="2014"/>
      <c r="E137" s="2015"/>
      <c r="F137" s="2015"/>
      <c r="G137" s="2015"/>
      <c r="H137" s="2016"/>
      <c r="I137" s="2014"/>
      <c r="J137" s="2015"/>
      <c r="K137" s="2017"/>
    </row>
    <row r="138" spans="1:21" s="982" customFormat="1" ht="13.5" thickBot="1">
      <c r="A138" s="2058"/>
      <c r="B138" s="2058"/>
      <c r="C138" s="2018" t="s">
        <v>142</v>
      </c>
      <c r="D138" s="2019"/>
      <c r="E138" s="2020"/>
      <c r="F138" s="2020"/>
      <c r="G138" s="2020"/>
      <c r="H138" s="2013"/>
      <c r="I138" s="2019"/>
      <c r="J138" s="2020"/>
      <c r="K138" s="2021"/>
    </row>
    <row r="139" spans="1:21" s="982" customFormat="1" ht="12.95" customHeight="1" thickBot="1">
      <c r="A139" s="2070" t="s">
        <v>151</v>
      </c>
      <c r="B139" s="2071"/>
      <c r="C139" s="2012"/>
      <c r="D139" s="1150"/>
      <c r="E139" s="1178"/>
      <c r="F139" s="1151"/>
      <c r="G139" s="1151" t="str">
        <f t="shared" si="10"/>
        <v/>
      </c>
      <c r="H139" s="1152" t="str">
        <f t="shared" si="11"/>
        <v/>
      </c>
      <c r="I139" s="1153"/>
      <c r="J139" s="1151"/>
      <c r="K139" s="1154" t="str">
        <f t="shared" si="12"/>
        <v/>
      </c>
      <c r="M139" s="1004"/>
    </row>
    <row r="140" spans="1:21" s="982" customFormat="1">
      <c r="A140" s="2074" t="s">
        <v>152</v>
      </c>
      <c r="B140" s="1160" t="s">
        <v>319</v>
      </c>
      <c r="C140" s="1160" t="s">
        <v>321</v>
      </c>
      <c r="D140" s="1161"/>
      <c r="E140" s="1162">
        <f>E141+E142+E143</f>
        <v>150</v>
      </c>
      <c r="F140" s="1162">
        <f>F141+F142+F143</f>
        <v>150</v>
      </c>
      <c r="G140" s="1163" t="str">
        <f t="shared" si="10"/>
        <v/>
      </c>
      <c r="H140" s="1164">
        <f t="shared" si="11"/>
        <v>0</v>
      </c>
      <c r="I140" s="1165">
        <f>I141+I142+I143</f>
        <v>0</v>
      </c>
      <c r="J140" s="1162">
        <f>J141+J142+J143</f>
        <v>139.28571428571431</v>
      </c>
      <c r="K140" s="1166">
        <f>IF(I140="","",J140-I140)</f>
        <v>139.28571428571431</v>
      </c>
    </row>
    <row r="141" spans="1:21" s="982" customFormat="1">
      <c r="A141" s="2073"/>
      <c r="B141" s="1167" t="s">
        <v>154</v>
      </c>
      <c r="C141" s="1043" t="s">
        <v>321</v>
      </c>
      <c r="D141" s="1118"/>
      <c r="E141" s="1168"/>
      <c r="F141" s="1169"/>
      <c r="G141" s="1169" t="str">
        <f t="shared" si="10"/>
        <v/>
      </c>
      <c r="H141" s="1119" t="str">
        <f t="shared" si="11"/>
        <v/>
      </c>
      <c r="I141" s="1118"/>
      <c r="J141" s="1168"/>
      <c r="K141" s="1120" t="str">
        <f t="shared" si="12"/>
        <v/>
      </c>
    </row>
    <row r="142" spans="1:21" s="982" customFormat="1">
      <c r="A142" s="2073"/>
      <c r="B142" s="1167" t="s">
        <v>315</v>
      </c>
      <c r="C142" s="1043" t="s">
        <v>321</v>
      </c>
      <c r="D142" s="1118"/>
      <c r="E142" s="1168">
        <v>150</v>
      </c>
      <c r="F142" s="1169">
        <v>150</v>
      </c>
      <c r="G142" s="1169" t="str">
        <f t="shared" si="10"/>
        <v/>
      </c>
      <c r="H142" s="1119">
        <f t="shared" si="11"/>
        <v>0</v>
      </c>
      <c r="I142" s="1118"/>
      <c r="J142" s="1168">
        <f>'Сетевой график (план)'!AH64</f>
        <v>139.28571428571431</v>
      </c>
      <c r="K142" s="1120" t="str">
        <f t="shared" si="12"/>
        <v/>
      </c>
      <c r="M142" s="1003"/>
    </row>
    <row r="143" spans="1:21" s="982" customFormat="1" ht="13.5" customHeight="1" thickBot="1">
      <c r="A143" s="2072"/>
      <c r="B143" s="1170" t="s">
        <v>324</v>
      </c>
      <c r="C143" s="1957" t="s">
        <v>321</v>
      </c>
      <c r="D143" s="1172"/>
      <c r="E143" s="1173"/>
      <c r="F143" s="1174"/>
      <c r="G143" s="1174" t="str">
        <f t="shared" si="10"/>
        <v/>
      </c>
      <c r="H143" s="1175" t="str">
        <f t="shared" si="11"/>
        <v/>
      </c>
      <c r="I143" s="1172"/>
      <c r="J143" s="1173"/>
      <c r="K143" s="1176" t="str">
        <f t="shared" si="12"/>
        <v/>
      </c>
      <c r="N143" s="1009"/>
    </row>
    <row r="144" spans="1:21" s="982" customFormat="1" ht="12.95" customHeight="1" thickBot="1">
      <c r="A144" s="2072" t="s">
        <v>320</v>
      </c>
      <c r="B144" s="1615" t="s">
        <v>313</v>
      </c>
      <c r="C144" s="1155" t="s">
        <v>142</v>
      </c>
      <c r="D144" s="1156"/>
      <c r="E144" s="1159">
        <v>10</v>
      </c>
      <c r="F144" s="1157">
        <v>10</v>
      </c>
      <c r="G144" s="1157" t="str">
        <f t="shared" si="10"/>
        <v/>
      </c>
      <c r="H144" s="1158">
        <f t="shared" si="11"/>
        <v>0</v>
      </c>
      <c r="I144" s="1156"/>
      <c r="J144" s="1157">
        <v>10</v>
      </c>
      <c r="K144" s="1117" t="str">
        <f t="shared" si="12"/>
        <v/>
      </c>
      <c r="M144" s="1002"/>
    </row>
    <row r="145" spans="1:14" s="982" customFormat="1" ht="12.95" customHeight="1" thickBot="1">
      <c r="A145" s="2072"/>
      <c r="B145" s="1949" t="s">
        <v>314</v>
      </c>
      <c r="C145" s="1160" t="s">
        <v>142</v>
      </c>
      <c r="D145" s="1614"/>
      <c r="E145" s="1162">
        <v>10</v>
      </c>
      <c r="F145" s="1163">
        <v>10</v>
      </c>
      <c r="G145" s="1163" t="str">
        <f t="shared" si="10"/>
        <v/>
      </c>
      <c r="H145" s="1164">
        <f t="shared" si="11"/>
        <v>0</v>
      </c>
      <c r="I145" s="1161"/>
      <c r="J145" s="1163">
        <v>10</v>
      </c>
      <c r="K145" s="1120" t="str">
        <f t="shared" si="12"/>
        <v/>
      </c>
      <c r="M145" s="1002"/>
    </row>
    <row r="146" spans="1:14" s="982" customFormat="1" ht="13.5" customHeight="1" thickBot="1">
      <c r="A146" s="2072"/>
      <c r="B146" s="1949" t="s">
        <v>244</v>
      </c>
      <c r="C146" s="1160" t="s">
        <v>321</v>
      </c>
      <c r="D146" s="1162"/>
      <c r="E146" s="1162">
        <f>E147+E148+E149</f>
        <v>310</v>
      </c>
      <c r="F146" s="1163">
        <f>F147+F148+F149</f>
        <v>310</v>
      </c>
      <c r="G146" s="1163" t="str">
        <f t="shared" si="10"/>
        <v/>
      </c>
      <c r="H146" s="1164">
        <f t="shared" si="11"/>
        <v>0</v>
      </c>
      <c r="I146" s="1165">
        <f>I147+I148+I149</f>
        <v>0</v>
      </c>
      <c r="J146" s="1162">
        <f>J147+J148+J149</f>
        <v>280</v>
      </c>
      <c r="K146" s="1120">
        <f t="shared" si="12"/>
        <v>280</v>
      </c>
    </row>
    <row r="147" spans="1:14" s="982" customFormat="1" ht="13.5" customHeight="1" thickBot="1">
      <c r="A147" s="2072"/>
      <c r="B147" s="1167" t="s">
        <v>316</v>
      </c>
      <c r="C147" s="1043" t="s">
        <v>321</v>
      </c>
      <c r="D147" s="1118"/>
      <c r="E147" s="1168"/>
      <c r="F147" s="1169"/>
      <c r="G147" s="1169" t="str">
        <f t="shared" si="10"/>
        <v/>
      </c>
      <c r="H147" s="1119" t="str">
        <f t="shared" si="11"/>
        <v/>
      </c>
      <c r="I147" s="1118"/>
      <c r="J147" s="1168"/>
      <c r="K147" s="1120" t="str">
        <f t="shared" si="12"/>
        <v/>
      </c>
    </row>
    <row r="148" spans="1:14" s="982" customFormat="1" ht="13.5" customHeight="1" thickBot="1">
      <c r="A148" s="2072"/>
      <c r="B148" s="1167" t="s">
        <v>155</v>
      </c>
      <c r="C148" s="1043" t="s">
        <v>321</v>
      </c>
      <c r="D148" s="1118"/>
      <c r="E148" s="1168"/>
      <c r="F148" s="1169"/>
      <c r="G148" s="1169" t="str">
        <f t="shared" si="10"/>
        <v/>
      </c>
      <c r="H148" s="1119" t="str">
        <f t="shared" si="11"/>
        <v/>
      </c>
      <c r="I148" s="1118"/>
      <c r="J148" s="1168"/>
      <c r="K148" s="1120" t="str">
        <f t="shared" si="12"/>
        <v/>
      </c>
    </row>
    <row r="149" spans="1:14" s="982" customFormat="1" ht="13.5" customHeight="1" thickBot="1">
      <c r="A149" s="2073"/>
      <c r="B149" s="1177" t="s">
        <v>156</v>
      </c>
      <c r="C149" s="1957" t="s">
        <v>321</v>
      </c>
      <c r="D149" s="1172"/>
      <c r="E149" s="1173">
        <f>E144*E8</f>
        <v>310</v>
      </c>
      <c r="F149" s="1173">
        <f>F144*F8</f>
        <v>310</v>
      </c>
      <c r="G149" s="1174" t="str">
        <f t="shared" si="10"/>
        <v/>
      </c>
      <c r="H149" s="1175">
        <f t="shared" si="11"/>
        <v>0</v>
      </c>
      <c r="I149" s="1125"/>
      <c r="J149" s="1173">
        <f>J144*J8</f>
        <v>280</v>
      </c>
      <c r="K149" s="1126" t="str">
        <f t="shared" si="12"/>
        <v/>
      </c>
    </row>
    <row r="150" spans="1:14" s="982" customFormat="1" ht="12.95" customHeight="1">
      <c r="A150" s="2082" t="s">
        <v>157</v>
      </c>
      <c r="B150" s="2083"/>
      <c r="C150" s="1622" t="s">
        <v>142</v>
      </c>
      <c r="D150" s="1616"/>
      <c r="E150" s="1617">
        <v>0</v>
      </c>
      <c r="F150" s="1617">
        <v>0</v>
      </c>
      <c r="G150" s="1617" t="str">
        <f t="shared" si="10"/>
        <v/>
      </c>
      <c r="H150" s="1618">
        <f t="shared" si="11"/>
        <v>0</v>
      </c>
      <c r="I150" s="1624">
        <v>0</v>
      </c>
      <c r="J150" s="1625">
        <v>0</v>
      </c>
      <c r="K150" s="1626">
        <f t="shared" si="12"/>
        <v>0</v>
      </c>
    </row>
    <row r="151" spans="1:14" s="982" customFormat="1" ht="12.95" customHeight="1">
      <c r="A151" s="2084" t="s">
        <v>245</v>
      </c>
      <c r="B151" s="2085"/>
      <c r="C151" s="1623" t="s">
        <v>142</v>
      </c>
      <c r="D151" s="1619"/>
      <c r="E151" s="1620">
        <v>0</v>
      </c>
      <c r="F151" s="1620">
        <v>0</v>
      </c>
      <c r="G151" s="1620" t="str">
        <f t="shared" si="10"/>
        <v/>
      </c>
      <c r="H151" s="1621">
        <f t="shared" si="11"/>
        <v>0</v>
      </c>
      <c r="I151" s="1627">
        <v>0</v>
      </c>
      <c r="J151" s="1620">
        <v>0</v>
      </c>
      <c r="K151" s="1628">
        <f t="shared" si="12"/>
        <v>0</v>
      </c>
    </row>
    <row r="152" spans="1:14" s="982" customFormat="1" ht="12.75" customHeight="1" thickBot="1">
      <c r="A152" s="2086" t="s">
        <v>158</v>
      </c>
      <c r="B152" s="2087"/>
      <c r="C152" s="1684" t="s">
        <v>321</v>
      </c>
      <c r="D152" s="1685"/>
      <c r="E152" s="1686">
        <v>428</v>
      </c>
      <c r="F152" s="1686">
        <v>549</v>
      </c>
      <c r="G152" s="1686" t="str">
        <f t="shared" si="10"/>
        <v/>
      </c>
      <c r="H152" s="1687">
        <f t="shared" si="11"/>
        <v>121</v>
      </c>
      <c r="I152" s="1688">
        <v>0</v>
      </c>
      <c r="J152" s="1686">
        <f>'Сетевой график (план)'!AH70</f>
        <v>371.22142857142876</v>
      </c>
      <c r="K152" s="1689">
        <f t="shared" si="12"/>
        <v>371.22142857142876</v>
      </c>
    </row>
    <row r="153" spans="1:14" s="982" customFormat="1" ht="13.5" thickBot="1">
      <c r="A153" s="2064" t="s">
        <v>159</v>
      </c>
      <c r="B153" s="2064"/>
      <c r="C153" s="1780"/>
      <c r="D153" s="1024"/>
      <c r="E153" s="1024"/>
      <c r="F153" s="1024"/>
      <c r="G153" s="1179" t="str">
        <f t="shared" ref="G153:G157" si="17">IF(D153="","",F153-D153)</f>
        <v/>
      </c>
      <c r="H153" s="1772" t="str">
        <f t="shared" ref="H153:H157" si="18">IF(E153="","",F153-E153)</f>
        <v/>
      </c>
      <c r="I153" s="53"/>
      <c r="J153" s="53"/>
      <c r="K153" s="206" t="str">
        <f t="shared" ref="K153:K157" si="19">IF(I153="","",J153-I153)</f>
        <v/>
      </c>
    </row>
    <row r="154" spans="1:14" s="982" customFormat="1">
      <c r="A154" s="2065" t="s">
        <v>160</v>
      </c>
      <c r="B154" s="2066"/>
      <c r="C154" s="1781" t="s">
        <v>142</v>
      </c>
      <c r="D154" s="1779">
        <f>D155/D8</f>
        <v>8189.5806451612907</v>
      </c>
      <c r="E154" s="1877">
        <f>E11-E13+E20-E86+E114+E104+(E151-E150)</f>
        <v>8293.7967742000001</v>
      </c>
      <c r="F154" s="1877">
        <f>F11-F13+F20-F86+F114+F104+(F151-F150)</f>
        <v>8365</v>
      </c>
      <c r="G154" s="1878">
        <f t="shared" si="17"/>
        <v>175.4193548387093</v>
      </c>
      <c r="H154" s="1879">
        <f t="shared" si="18"/>
        <v>71.203225799999927</v>
      </c>
      <c r="I154" s="1880">
        <f>I155/I8</f>
        <v>8392.8571428571431</v>
      </c>
      <c r="J154" s="1881">
        <f>J11-J13+J20-J86+J114+J104-(J145-J144)+(J151-J150)</f>
        <v>8436</v>
      </c>
      <c r="K154" s="1882">
        <f>IF(I154="","",J154-I154)</f>
        <v>43.142857142856883</v>
      </c>
      <c r="M154" s="1009"/>
      <c r="N154" s="1004"/>
    </row>
    <row r="155" spans="1:14" s="982" customFormat="1" ht="13.5" thickBot="1">
      <c r="A155" s="2067" t="s">
        <v>328</v>
      </c>
      <c r="B155" s="2068"/>
      <c r="C155" s="1782" t="s">
        <v>321</v>
      </c>
      <c r="D155" s="1883">
        <v>253877</v>
      </c>
      <c r="E155" s="1774">
        <f>(E11*E8)-E18+E22-E87+E105+E115-E140+(E152-E150*E8)</f>
        <v>254841.90322579999</v>
      </c>
      <c r="F155" s="1774">
        <f>(F11*F8)-F18+F22-F87+F105+F115-F140+(F152-F150*F8)</f>
        <v>255773</v>
      </c>
      <c r="G155" s="1884">
        <f t="shared" si="17"/>
        <v>1896</v>
      </c>
      <c r="H155" s="1775">
        <f t="shared" si="18"/>
        <v>931.09677420000662</v>
      </c>
      <c r="I155" s="1883">
        <v>235000</v>
      </c>
      <c r="J155" s="1178">
        <f>(J11*J8)-J18+J22-J87+J105+J115-J140+(J152-J150*J8)-(J146-J144*J8)</f>
        <v>235831.4357142857</v>
      </c>
      <c r="K155" s="1885">
        <f t="shared" si="19"/>
        <v>831.43571428570431</v>
      </c>
      <c r="M155" s="1009"/>
    </row>
    <row r="156" spans="1:14" s="982" customFormat="1" ht="13.5" thickBot="1">
      <c r="A156" s="2059" t="s">
        <v>161</v>
      </c>
      <c r="B156" s="2059"/>
      <c r="C156" s="1171" t="s">
        <v>142</v>
      </c>
      <c r="D156" s="1773">
        <f>D154-D11</f>
        <v>24.580645161290704</v>
      </c>
      <c r="E156" s="1773">
        <f>E154-E11</f>
        <v>-13.203225799999927</v>
      </c>
      <c r="F156" s="1773">
        <f>F154-F11</f>
        <v>58</v>
      </c>
      <c r="G156" s="1773">
        <f t="shared" si="17"/>
        <v>33.419354838709296</v>
      </c>
      <c r="H156" s="1180">
        <f t="shared" si="18"/>
        <v>71.203225799999927</v>
      </c>
      <c r="I156" s="1182">
        <f>I154-I11</f>
        <v>203.27649769585241</v>
      </c>
      <c r="J156" s="1181">
        <f>J154-J11</f>
        <v>71</v>
      </c>
      <c r="K156" s="1028">
        <f t="shared" si="19"/>
        <v>-132.27649769585241</v>
      </c>
    </row>
    <row r="157" spans="1:14" ht="13.5" thickBot="1">
      <c r="A157" s="2059" t="s">
        <v>162</v>
      </c>
      <c r="B157" s="2059"/>
      <c r="C157" s="1010" t="s">
        <v>142</v>
      </c>
      <c r="D157" s="1181">
        <f>D155/D8</f>
        <v>8189.5806451612907</v>
      </c>
      <c r="E157" s="1181">
        <f>E155/E8</f>
        <v>8220.7065556709676</v>
      </c>
      <c r="F157" s="1181">
        <f>F155/F8</f>
        <v>8250.7419354838712</v>
      </c>
      <c r="G157" s="1181">
        <f t="shared" si="17"/>
        <v>61.161290322580498</v>
      </c>
      <c r="H157" s="1149">
        <f t="shared" si="18"/>
        <v>30.035379812903557</v>
      </c>
      <c r="I157" s="1182">
        <f>I155/I8</f>
        <v>8392.8571428571431</v>
      </c>
      <c r="J157" s="1181">
        <f>J155/J8</f>
        <v>8422.5512755102045</v>
      </c>
      <c r="K157" s="1028">
        <f t="shared" si="19"/>
        <v>29.694132653061388</v>
      </c>
    </row>
    <row r="158" spans="1:14" ht="12.75" customHeight="1" thickBot="1">
      <c r="A158" s="2056" t="s">
        <v>326</v>
      </c>
      <c r="B158" s="2056"/>
      <c r="C158" s="2018" t="s">
        <v>142</v>
      </c>
      <c r="D158" s="2026"/>
      <c r="E158" s="2026"/>
      <c r="F158" s="2026"/>
      <c r="G158" s="2026"/>
      <c r="H158" s="2027"/>
      <c r="I158" s="2028"/>
      <c r="J158" s="2026"/>
      <c r="K158" s="2029"/>
    </row>
    <row r="159" spans="1:14" ht="12.75" customHeight="1" thickBot="1">
      <c r="A159" s="2056" t="s">
        <v>327</v>
      </c>
      <c r="B159" s="2056"/>
      <c r="C159" s="2018" t="s">
        <v>321</v>
      </c>
      <c r="D159" s="2026"/>
      <c r="E159" s="2026"/>
      <c r="F159" s="2026"/>
      <c r="G159" s="2026"/>
      <c r="H159" s="2027"/>
      <c r="I159" s="2028"/>
      <c r="J159" s="2026"/>
      <c r="K159" s="2029"/>
    </row>
    <row r="160" spans="1:14" ht="13.5" thickBot="1">
      <c r="A160" s="2056" t="s">
        <v>341</v>
      </c>
      <c r="B160" s="2056"/>
      <c r="C160" s="2018" t="s">
        <v>142</v>
      </c>
      <c r="D160" s="2026"/>
      <c r="E160" s="2026"/>
      <c r="F160" s="2026">
        <f>F158-F154</f>
        <v>-8365</v>
      </c>
      <c r="G160" s="2026"/>
      <c r="H160" s="2027"/>
      <c r="I160" s="2028"/>
      <c r="J160" s="2026"/>
      <c r="K160" s="2029"/>
    </row>
    <row r="161" spans="1:14" ht="13.5" thickBot="1">
      <c r="A161" s="2056" t="s">
        <v>342</v>
      </c>
      <c r="B161" s="2056"/>
      <c r="C161" s="2018" t="s">
        <v>321</v>
      </c>
      <c r="D161" s="2026"/>
      <c r="E161" s="2026"/>
      <c r="F161" s="2026">
        <f>F159-F155</f>
        <v>-255773</v>
      </c>
      <c r="G161" s="2026"/>
      <c r="H161" s="2027"/>
      <c r="I161" s="2028"/>
      <c r="J161" s="2026"/>
      <c r="K161" s="2029"/>
    </row>
    <row r="162" spans="1:14">
      <c r="D162" s="1185"/>
      <c r="E162" s="1183"/>
      <c r="G162" s="1186"/>
      <c r="H162" s="1183"/>
      <c r="I162" s="1185"/>
      <c r="J162" s="1185"/>
      <c r="K162" s="1183"/>
      <c r="L162" s="1187"/>
    </row>
    <row r="163" spans="1:14">
      <c r="E163" s="1183"/>
      <c r="F163" s="1183"/>
      <c r="G163" s="1183"/>
      <c r="I163" s="1188"/>
      <c r="J163" s="1183"/>
    </row>
    <row r="164" spans="1:14">
      <c r="D164" s="1189"/>
      <c r="E164" s="1183"/>
      <c r="F164" s="1778"/>
      <c r="H164" s="1183"/>
      <c r="J164" s="1183"/>
      <c r="M164" s="1187"/>
      <c r="N164" s="1190"/>
    </row>
    <row r="165" spans="1:14">
      <c r="E165" s="1191"/>
      <c r="F165" s="1186"/>
      <c r="J165" s="1184"/>
      <c r="M165" s="1192"/>
    </row>
    <row r="166" spans="1:14">
      <c r="E166" s="1191"/>
      <c r="F166" s="1186"/>
      <c r="H166" s="1693"/>
      <c r="I166" s="1190"/>
      <c r="J166" s="1184"/>
      <c r="M166" s="1192"/>
    </row>
    <row r="167" spans="1:14" ht="14.25">
      <c r="F167" s="1783"/>
      <c r="G167" s="1193"/>
      <c r="H167" s="1193"/>
      <c r="I167" s="1193"/>
      <c r="J167" s="1193"/>
    </row>
    <row r="168" spans="1:14" ht="14.25">
      <c r="D168" s="1193"/>
      <c r="E168" s="1193"/>
      <c r="F168" s="1193"/>
      <c r="G168" s="1193"/>
      <c r="H168" s="1193"/>
      <c r="I168" s="1193"/>
      <c r="J168" s="1193"/>
      <c r="K168" s="1188"/>
      <c r="M168" s="1187"/>
    </row>
    <row r="169" spans="1:14" ht="14.25">
      <c r="F169" s="1193"/>
      <c r="I169" s="1190"/>
      <c r="M169" s="1187"/>
    </row>
    <row r="170" spans="1:14">
      <c r="E170" s="982"/>
      <c r="F170" s="1188"/>
      <c r="J170" s="1188"/>
    </row>
    <row r="171" spans="1:14">
      <c r="F171" s="1188"/>
      <c r="J171" s="1188"/>
      <c r="K171" s="1188"/>
    </row>
    <row r="172" spans="1:14">
      <c r="D172" s="1189"/>
      <c r="E172" s="1189"/>
      <c r="F172" s="1189"/>
      <c r="G172" s="1189"/>
      <c r="H172" s="1189"/>
      <c r="I172" s="1189"/>
      <c r="J172" s="1189"/>
    </row>
    <row r="173" spans="1:14">
      <c r="D173" s="1183"/>
      <c r="E173" s="1183"/>
      <c r="F173" s="1183"/>
      <c r="I173" s="1183"/>
      <c r="J173" s="1183"/>
    </row>
    <row r="174" spans="1:14">
      <c r="D174" s="1183"/>
      <c r="E174" s="1183"/>
      <c r="F174" s="1183"/>
      <c r="I174" s="1183"/>
      <c r="J174" s="1183"/>
    </row>
    <row r="175" spans="1:14">
      <c r="F175" s="1183"/>
    </row>
    <row r="176" spans="1:14">
      <c r="F176" s="1183"/>
    </row>
    <row r="177" spans="2:6">
      <c r="F177" s="1183"/>
    </row>
    <row r="178" spans="2:6">
      <c r="F178" s="1183"/>
    </row>
    <row r="179" spans="2:6">
      <c r="F179" s="1183"/>
    </row>
    <row r="180" spans="2:6">
      <c r="F180" s="1183"/>
    </row>
    <row r="181" spans="2:6">
      <c r="F181" s="1183"/>
    </row>
    <row r="189" spans="2:6">
      <c r="B189" s="1194"/>
    </row>
    <row r="190" spans="2:6">
      <c r="B190" s="1194"/>
    </row>
    <row r="191" spans="2:6">
      <c r="B191" s="1194"/>
    </row>
    <row r="192" spans="2:6">
      <c r="B192" s="1194"/>
      <c r="E192" s="1183"/>
    </row>
    <row r="193" spans="2:7">
      <c r="B193" s="1194"/>
      <c r="E193" s="1183"/>
      <c r="F193" s="1187"/>
    </row>
    <row r="194" spans="2:7">
      <c r="B194" s="1194"/>
      <c r="E194" s="1183"/>
    </row>
    <row r="195" spans="2:7">
      <c r="B195" s="1194"/>
      <c r="E195" s="1183"/>
    </row>
    <row r="196" spans="2:7">
      <c r="B196" s="1194"/>
      <c r="E196" s="1183"/>
      <c r="F196" s="1187"/>
      <c r="G196" s="1187"/>
    </row>
    <row r="197" spans="2:7">
      <c r="B197" s="1194"/>
    </row>
    <row r="198" spans="2:7">
      <c r="B198" s="1195"/>
    </row>
    <row r="199" spans="2:7">
      <c r="B199" s="1194"/>
    </row>
    <row r="200" spans="2:7">
      <c r="B200" s="1194"/>
    </row>
    <row r="201" spans="2:7">
      <c r="B201" s="1194"/>
    </row>
    <row r="202" spans="2:7">
      <c r="B202" s="1194"/>
    </row>
    <row r="203" spans="2:7">
      <c r="B203" s="1194"/>
    </row>
    <row r="204" spans="2:7">
      <c r="B204" s="1194"/>
    </row>
    <row r="205" spans="2:7">
      <c r="B205" s="1194"/>
    </row>
    <row r="206" spans="2:7">
      <c r="B206" s="1194"/>
    </row>
    <row r="207" spans="2:7">
      <c r="B207" s="1194"/>
    </row>
    <row r="208" spans="2:7">
      <c r="B208" s="1194"/>
    </row>
    <row r="209" spans="2:44">
      <c r="B209" s="1194"/>
    </row>
    <row r="210" spans="2:44" s="973" customFormat="1">
      <c r="B210" s="1195"/>
      <c r="E210" s="974"/>
      <c r="F210" s="974"/>
      <c r="G210" s="974"/>
      <c r="H210" s="974"/>
      <c r="I210" s="974"/>
      <c r="J210" s="974"/>
      <c r="K210" s="974"/>
      <c r="L210" s="974"/>
      <c r="M210" s="974"/>
      <c r="N210" s="974"/>
      <c r="O210" s="974"/>
      <c r="P210" s="974"/>
      <c r="Q210" s="974"/>
      <c r="R210" s="974"/>
      <c r="S210" s="974"/>
      <c r="T210" s="974"/>
      <c r="U210" s="974"/>
      <c r="V210" s="974"/>
      <c r="W210" s="974"/>
      <c r="X210" s="974"/>
      <c r="Y210" s="974"/>
      <c r="Z210" s="974"/>
      <c r="AA210" s="974"/>
      <c r="AB210" s="974"/>
      <c r="AC210" s="974"/>
      <c r="AD210" s="974"/>
      <c r="AE210" s="974"/>
      <c r="AF210" s="974"/>
      <c r="AG210" s="974"/>
      <c r="AH210" s="974"/>
      <c r="AI210" s="974"/>
      <c r="AJ210" s="974"/>
      <c r="AK210" s="974"/>
      <c r="AL210" s="974"/>
      <c r="AM210" s="974"/>
      <c r="AN210" s="974"/>
      <c r="AO210" s="974"/>
      <c r="AP210" s="974"/>
      <c r="AQ210" s="974"/>
      <c r="AR210" s="974"/>
    </row>
    <row r="211" spans="2:44" s="973" customFormat="1">
      <c r="B211" s="1195"/>
      <c r="E211" s="974"/>
      <c r="F211" s="974"/>
      <c r="G211" s="974"/>
      <c r="H211" s="974"/>
      <c r="I211" s="974"/>
      <c r="J211" s="974"/>
      <c r="K211" s="974"/>
      <c r="L211" s="974"/>
      <c r="M211" s="974"/>
      <c r="N211" s="974"/>
      <c r="O211" s="974"/>
      <c r="P211" s="974"/>
      <c r="Q211" s="974"/>
      <c r="R211" s="974"/>
      <c r="S211" s="974"/>
      <c r="T211" s="974"/>
      <c r="U211" s="974"/>
      <c r="V211" s="974"/>
      <c r="W211" s="974"/>
      <c r="X211" s="974"/>
      <c r="Y211" s="974"/>
      <c r="Z211" s="974"/>
      <c r="AA211" s="974"/>
      <c r="AB211" s="974"/>
      <c r="AC211" s="974"/>
      <c r="AD211" s="974"/>
      <c r="AE211" s="974"/>
      <c r="AF211" s="974"/>
      <c r="AG211" s="974"/>
      <c r="AH211" s="974"/>
      <c r="AI211" s="974"/>
      <c r="AJ211" s="974"/>
      <c r="AK211" s="974"/>
      <c r="AL211" s="974"/>
      <c r="AM211" s="974"/>
      <c r="AN211" s="974"/>
      <c r="AO211" s="974"/>
      <c r="AP211" s="974"/>
      <c r="AQ211" s="974"/>
      <c r="AR211" s="974"/>
    </row>
    <row r="212" spans="2:44" s="973" customFormat="1">
      <c r="B212" s="1195"/>
      <c r="E212" s="974"/>
      <c r="F212" s="974"/>
      <c r="G212" s="974"/>
      <c r="H212" s="974"/>
      <c r="I212" s="974"/>
      <c r="J212" s="974"/>
      <c r="K212" s="974"/>
      <c r="L212" s="974"/>
      <c r="M212" s="974"/>
      <c r="N212" s="974"/>
      <c r="O212" s="974"/>
      <c r="P212" s="974"/>
      <c r="Q212" s="974"/>
      <c r="R212" s="974"/>
      <c r="S212" s="974"/>
      <c r="T212" s="974"/>
      <c r="U212" s="974"/>
      <c r="V212" s="974"/>
      <c r="W212" s="974"/>
      <c r="X212" s="974"/>
      <c r="Y212" s="974"/>
      <c r="Z212" s="974"/>
      <c r="AA212" s="974"/>
      <c r="AB212" s="974"/>
      <c r="AC212" s="974"/>
      <c r="AD212" s="974"/>
      <c r="AE212" s="974"/>
      <c r="AF212" s="974"/>
      <c r="AG212" s="974"/>
      <c r="AH212" s="974"/>
      <c r="AI212" s="974"/>
      <c r="AJ212" s="974"/>
      <c r="AK212" s="974"/>
      <c r="AL212" s="974"/>
      <c r="AM212" s="974"/>
      <c r="AN212" s="974"/>
      <c r="AO212" s="974"/>
      <c r="AP212" s="974"/>
      <c r="AQ212" s="974"/>
      <c r="AR212" s="974"/>
    </row>
  </sheetData>
  <mergeCells count="70">
    <mergeCell ref="A160:B160"/>
    <mergeCell ref="A161:B161"/>
    <mergeCell ref="I6:K6"/>
    <mergeCell ref="A11:B11"/>
    <mergeCell ref="A7:K7"/>
    <mergeCell ref="A9:B10"/>
    <mergeCell ref="C9:C10"/>
    <mergeCell ref="D9:H9"/>
    <mergeCell ref="I9:K9"/>
    <mergeCell ref="A39:B42"/>
    <mergeCell ref="A13:B13"/>
    <mergeCell ref="A14:B14"/>
    <mergeCell ref="A15:B15"/>
    <mergeCell ref="A19:B22"/>
    <mergeCell ref="A23:B26"/>
    <mergeCell ref="A27:B30"/>
    <mergeCell ref="A31:B34"/>
    <mergeCell ref="A2:Q2"/>
    <mergeCell ref="A3:M3"/>
    <mergeCell ref="A12:B12"/>
    <mergeCell ref="A35:B38"/>
    <mergeCell ref="A16:B16"/>
    <mergeCell ref="A17:B17"/>
    <mergeCell ref="A18:B18"/>
    <mergeCell ref="A84:B84"/>
    <mergeCell ref="A43:B46"/>
    <mergeCell ref="A47:B50"/>
    <mergeCell ref="A51:B54"/>
    <mergeCell ref="A55:B58"/>
    <mergeCell ref="A59:B62"/>
    <mergeCell ref="A63:B66"/>
    <mergeCell ref="A67:B70"/>
    <mergeCell ref="A71:B74"/>
    <mergeCell ref="A75:B78"/>
    <mergeCell ref="A79:B82"/>
    <mergeCell ref="A83:B83"/>
    <mergeCell ref="A85:B87"/>
    <mergeCell ref="A88:B90"/>
    <mergeCell ref="A91:B93"/>
    <mergeCell ref="A94:B96"/>
    <mergeCell ref="A97:B99"/>
    <mergeCell ref="A106:B106"/>
    <mergeCell ref="A107:B109"/>
    <mergeCell ref="A110:B112"/>
    <mergeCell ref="A113:B115"/>
    <mergeCell ref="A125:B127"/>
    <mergeCell ref="A100:B102"/>
    <mergeCell ref="A153:B153"/>
    <mergeCell ref="A154:B154"/>
    <mergeCell ref="A155:B155"/>
    <mergeCell ref="A156:B156"/>
    <mergeCell ref="A133:B134"/>
    <mergeCell ref="A139:B139"/>
    <mergeCell ref="A144:A149"/>
    <mergeCell ref="A140:A143"/>
    <mergeCell ref="A116:B118"/>
    <mergeCell ref="A119:B121"/>
    <mergeCell ref="A122:B124"/>
    <mergeCell ref="A103:B105"/>
    <mergeCell ref="A150:B150"/>
    <mergeCell ref="A151:B151"/>
    <mergeCell ref="A152:B152"/>
    <mergeCell ref="A158:B158"/>
    <mergeCell ref="A159:B159"/>
    <mergeCell ref="A128:B128"/>
    <mergeCell ref="A135:B136"/>
    <mergeCell ref="A137:B138"/>
    <mergeCell ref="A157:B157"/>
    <mergeCell ref="A129:B130"/>
    <mergeCell ref="A131:B132"/>
  </mergeCells>
  <printOptions horizontalCentered="1"/>
  <pageMargins left="1.2598425196850394" right="0.78740157480314965" top="0.15748031496062992" bottom="0.19685039370078741" header="0.51181102362204722" footer="0.51181102362204722"/>
  <pageSetup paperSize="8" scale="57" firstPageNumber="0" orientation="portrait" r:id="rId1"/>
  <headerFooter alignWithMargins="0"/>
  <ignoredErrors>
    <ignoredError sqref="E113:F115 J108:K115 E122:F124 J122:J12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BO306"/>
  <sheetViews>
    <sheetView tabSelected="1" view="pageBreakPreview" zoomScale="60" zoomScaleNormal="70" workbookViewId="0">
      <pane xSplit="2" ySplit="4" topLeftCell="C50" activePane="bottomRight" state="frozen"/>
      <selection activeCell="D150" sqref="D150"/>
      <selection pane="topRight" activeCell="D150" sqref="D150"/>
      <selection pane="bottomLeft" activeCell="D150" sqref="D150"/>
      <selection pane="bottomRight" activeCell="A56" sqref="A56:A57"/>
    </sheetView>
  </sheetViews>
  <sheetFormatPr defaultColWidth="24.28515625" defaultRowHeight="15" outlineLevelCol="1"/>
  <cols>
    <col min="1" max="1" width="47.85546875" style="1196" customWidth="1"/>
    <col min="2" max="2" width="16.5703125" style="1197" customWidth="1"/>
    <col min="3" max="17" width="10.7109375" style="1198" customWidth="1"/>
    <col min="18" max="18" width="11.28515625" style="1198" customWidth="1"/>
    <col min="19" max="30" width="10.7109375" style="1198" customWidth="1"/>
    <col min="31" max="31" width="10.7109375" style="1198" hidden="1" customWidth="1"/>
    <col min="32" max="32" width="11.28515625" style="1198" hidden="1" customWidth="1"/>
    <col min="33" max="33" width="10.7109375" style="1198" hidden="1" customWidth="1" outlineLevel="1"/>
    <col min="34" max="34" width="18.140625" style="1198" customWidth="1" collapsed="1"/>
    <col min="35" max="35" width="13" style="1197" customWidth="1"/>
    <col min="36" max="36" width="16.140625" style="1199" customWidth="1"/>
    <col min="37" max="37" width="16.85546875" style="1199" customWidth="1"/>
    <col min="38" max="38" width="14.7109375" style="1199" customWidth="1"/>
    <col min="39" max="39" width="16.140625" style="1199" customWidth="1"/>
    <col min="40" max="43" width="9" style="1199" customWidth="1"/>
    <col min="44" max="44" width="10.85546875" style="1199" customWidth="1"/>
    <col min="45" max="54" width="9" style="1199" customWidth="1"/>
    <col min="55" max="55" width="10.5703125" style="1199" customWidth="1"/>
    <col min="56" max="56" width="9" style="1199" customWidth="1"/>
    <col min="57" max="57" width="11" style="1199" customWidth="1"/>
    <col min="58" max="67" width="9" style="1199" customWidth="1"/>
    <col min="68" max="16384" width="24.28515625" style="1197"/>
  </cols>
  <sheetData>
    <row r="1" spans="1:67" s="1200" customFormat="1" ht="20.100000000000001" customHeight="1">
      <c r="A1" s="2142" t="s">
        <v>291</v>
      </c>
      <c r="B1" s="2142"/>
      <c r="C1" s="2142"/>
      <c r="D1" s="2142"/>
      <c r="E1" s="2142"/>
      <c r="F1" s="2142"/>
      <c r="G1" s="2142"/>
      <c r="H1" s="2142"/>
      <c r="I1" s="2142"/>
      <c r="J1" s="2142"/>
      <c r="K1" s="2142"/>
      <c r="L1" s="2142"/>
      <c r="M1" s="2142"/>
      <c r="N1" s="2142"/>
      <c r="O1" s="2142"/>
      <c r="P1" s="2142"/>
      <c r="Q1" s="2142"/>
      <c r="R1" s="2142"/>
      <c r="S1" s="2142"/>
      <c r="T1" s="2142"/>
      <c r="U1" s="2142"/>
      <c r="V1" s="2142"/>
      <c r="W1" s="2142"/>
      <c r="X1" s="2142"/>
      <c r="Y1" s="2142"/>
      <c r="Z1" s="2142"/>
      <c r="AA1" s="2142"/>
      <c r="AB1" s="2142"/>
      <c r="AC1" s="2142"/>
      <c r="AD1" s="2142"/>
      <c r="AE1" s="2142"/>
      <c r="AF1" s="2142"/>
      <c r="AG1" s="2142"/>
      <c r="AH1" s="2142"/>
      <c r="AJ1" s="1199"/>
      <c r="AK1" s="1199"/>
      <c r="AL1" s="1199"/>
      <c r="AM1" s="1199"/>
      <c r="AN1" s="1199"/>
      <c r="AO1" s="1199"/>
      <c r="AP1" s="1199"/>
      <c r="AQ1" s="1199"/>
      <c r="AR1" s="1199"/>
      <c r="AS1" s="1199"/>
      <c r="AT1" s="1199"/>
      <c r="AU1" s="1199"/>
      <c r="AV1" s="1199"/>
      <c r="AW1" s="1199"/>
      <c r="AX1" s="1199"/>
      <c r="AY1" s="1199"/>
      <c r="AZ1" s="1199"/>
      <c r="BA1" s="1199"/>
      <c r="BB1" s="1199"/>
      <c r="BC1" s="1199"/>
      <c r="BD1" s="1199"/>
      <c r="BE1" s="1199"/>
      <c r="BF1" s="1199"/>
      <c r="BG1" s="1199"/>
      <c r="BH1" s="1199"/>
      <c r="BI1" s="1199"/>
      <c r="BJ1" s="1199"/>
      <c r="BK1" s="1199"/>
      <c r="BL1" s="1199"/>
      <c r="BM1" s="1199"/>
      <c r="BN1" s="1199"/>
      <c r="BO1" s="1199"/>
    </row>
    <row r="2" spans="1:67" s="1200" customFormat="1" ht="17.25" customHeight="1">
      <c r="A2" s="1201">
        <f>AF65</f>
        <v>0</v>
      </c>
      <c r="B2" s="1202">
        <v>28</v>
      </c>
      <c r="C2" s="1203">
        <f>B2</f>
        <v>28</v>
      </c>
      <c r="D2" s="1203">
        <f t="shared" ref="D2:AG2" si="0">C2-1</f>
        <v>27</v>
      </c>
      <c r="E2" s="1203">
        <f t="shared" si="0"/>
        <v>26</v>
      </c>
      <c r="F2" s="1203">
        <f t="shared" si="0"/>
        <v>25</v>
      </c>
      <c r="G2" s="1203">
        <f t="shared" si="0"/>
        <v>24</v>
      </c>
      <c r="H2" s="1203">
        <f t="shared" si="0"/>
        <v>23</v>
      </c>
      <c r="I2" s="1203">
        <f t="shared" si="0"/>
        <v>22</v>
      </c>
      <c r="J2" s="1203">
        <f t="shared" si="0"/>
        <v>21</v>
      </c>
      <c r="K2" s="1203">
        <f t="shared" si="0"/>
        <v>20</v>
      </c>
      <c r="L2" s="1203">
        <f t="shared" si="0"/>
        <v>19</v>
      </c>
      <c r="M2" s="1203">
        <f t="shared" si="0"/>
        <v>18</v>
      </c>
      <c r="N2" s="1203">
        <f t="shared" si="0"/>
        <v>17</v>
      </c>
      <c r="O2" s="1203">
        <f t="shared" si="0"/>
        <v>16</v>
      </c>
      <c r="P2" s="1203">
        <f t="shared" si="0"/>
        <v>15</v>
      </c>
      <c r="Q2" s="1203">
        <f t="shared" si="0"/>
        <v>14</v>
      </c>
      <c r="R2" s="1203">
        <f t="shared" si="0"/>
        <v>13</v>
      </c>
      <c r="S2" s="1203">
        <f t="shared" si="0"/>
        <v>12</v>
      </c>
      <c r="T2" s="1203">
        <f t="shared" si="0"/>
        <v>11</v>
      </c>
      <c r="U2" s="1203">
        <f t="shared" si="0"/>
        <v>10</v>
      </c>
      <c r="V2" s="1203">
        <f t="shared" si="0"/>
        <v>9</v>
      </c>
      <c r="W2" s="1203">
        <f t="shared" si="0"/>
        <v>8</v>
      </c>
      <c r="X2" s="1203">
        <f t="shared" si="0"/>
        <v>7</v>
      </c>
      <c r="Y2" s="1203">
        <f t="shared" si="0"/>
        <v>6</v>
      </c>
      <c r="Z2" s="1203">
        <f t="shared" si="0"/>
        <v>5</v>
      </c>
      <c r="AA2" s="1203">
        <f t="shared" si="0"/>
        <v>4</v>
      </c>
      <c r="AB2" s="1203">
        <f t="shared" si="0"/>
        <v>3</v>
      </c>
      <c r="AC2" s="1203">
        <f t="shared" si="0"/>
        <v>2</v>
      </c>
      <c r="AD2" s="1203">
        <f t="shared" si="0"/>
        <v>1</v>
      </c>
      <c r="AE2" s="1203"/>
      <c r="AF2" s="1203"/>
      <c r="AG2" s="1203">
        <f t="shared" si="0"/>
        <v>-1</v>
      </c>
      <c r="AH2" s="1204"/>
      <c r="AJ2" s="1199"/>
      <c r="AK2" s="1199"/>
      <c r="AL2" s="1199"/>
      <c r="AM2" s="1199"/>
      <c r="AN2" s="1199"/>
      <c r="AO2" s="1199"/>
      <c r="AP2" s="1199"/>
      <c r="AQ2" s="1199"/>
      <c r="AR2" s="1199"/>
      <c r="AS2" s="1199"/>
      <c r="AT2" s="1199"/>
      <c r="AU2" s="1199"/>
      <c r="AV2" s="1199"/>
      <c r="AW2" s="1199"/>
      <c r="AX2" s="1199"/>
      <c r="AY2" s="1199"/>
      <c r="AZ2" s="1199"/>
      <c r="BA2" s="1199"/>
      <c r="BB2" s="1199"/>
      <c r="BC2" s="1199"/>
      <c r="BD2" s="1199"/>
      <c r="BE2" s="1199"/>
      <c r="BF2" s="1199"/>
      <c r="BG2" s="1199"/>
      <c r="BH2" s="1199"/>
      <c r="BI2" s="1199"/>
      <c r="BJ2" s="1199"/>
      <c r="BK2" s="1199"/>
      <c r="BL2" s="1199"/>
      <c r="BM2" s="1199"/>
      <c r="BN2" s="1199"/>
      <c r="BO2" s="1199"/>
    </row>
    <row r="3" spans="1:67" s="1200" customFormat="1" ht="12.75" hidden="1" customHeight="1">
      <c r="A3" s="1202"/>
      <c r="B3" s="1202"/>
      <c r="C3" s="1205">
        <v>1</v>
      </c>
      <c r="D3" s="1205">
        <v>2</v>
      </c>
      <c r="E3" s="1205">
        <v>3</v>
      </c>
      <c r="F3" s="1205">
        <v>4</v>
      </c>
      <c r="G3" s="1205">
        <v>5</v>
      </c>
      <c r="H3" s="1205">
        <v>6</v>
      </c>
      <c r="I3" s="1205">
        <v>7</v>
      </c>
      <c r="J3" s="1205">
        <v>8</v>
      </c>
      <c r="K3" s="1205">
        <v>9</v>
      </c>
      <c r="L3" s="1205">
        <v>10</v>
      </c>
      <c r="M3" s="1205">
        <v>11</v>
      </c>
      <c r="N3" s="1205">
        <v>12</v>
      </c>
      <c r="O3" s="1205">
        <v>13</v>
      </c>
      <c r="P3" s="1205">
        <v>14</v>
      </c>
      <c r="Q3" s="1205">
        <v>15</v>
      </c>
      <c r="R3" s="1205">
        <v>16</v>
      </c>
      <c r="S3" s="1205">
        <v>17</v>
      </c>
      <c r="T3" s="1205">
        <v>18</v>
      </c>
      <c r="U3" s="1205">
        <v>19</v>
      </c>
      <c r="V3" s="1205">
        <v>20</v>
      </c>
      <c r="W3" s="1205">
        <v>21</v>
      </c>
      <c r="X3" s="1205">
        <v>22</v>
      </c>
      <c r="Y3" s="1205">
        <v>23</v>
      </c>
      <c r="Z3" s="1205">
        <v>24</v>
      </c>
      <c r="AA3" s="1205">
        <v>25</v>
      </c>
      <c r="AB3" s="1205">
        <v>26</v>
      </c>
      <c r="AC3" s="1205">
        <v>27</v>
      </c>
      <c r="AD3" s="1205">
        <v>28</v>
      </c>
      <c r="AE3" s="1205"/>
      <c r="AF3" s="1205"/>
      <c r="AG3" s="1205"/>
      <c r="AH3" s="1204"/>
      <c r="AJ3" s="1199"/>
      <c r="AK3" s="1199"/>
      <c r="AL3" s="1199"/>
      <c r="AM3" s="1199"/>
      <c r="AN3" s="1199"/>
      <c r="AO3" s="1199"/>
      <c r="AP3" s="1199"/>
      <c r="AQ3" s="1199"/>
      <c r="AR3" s="1199"/>
      <c r="AS3" s="1199"/>
      <c r="AT3" s="1199"/>
      <c r="AU3" s="1199"/>
      <c r="AV3" s="1199"/>
      <c r="AW3" s="1199"/>
      <c r="AX3" s="1199"/>
      <c r="AY3" s="1199"/>
      <c r="AZ3" s="1199"/>
      <c r="BA3" s="1199"/>
      <c r="BB3" s="1199"/>
      <c r="BC3" s="1199"/>
      <c r="BD3" s="1199"/>
      <c r="BE3" s="1199"/>
      <c r="BF3" s="1199"/>
      <c r="BG3" s="1199"/>
      <c r="BH3" s="1199"/>
      <c r="BI3" s="1199"/>
      <c r="BJ3" s="1199"/>
      <c r="BK3" s="1199"/>
      <c r="BL3" s="1199"/>
      <c r="BM3" s="1199"/>
      <c r="BN3" s="1199"/>
      <c r="BO3" s="1199"/>
    </row>
    <row r="4" spans="1:67" s="1200" customFormat="1" ht="30.75" customHeight="1">
      <c r="A4" s="2138" t="s">
        <v>164</v>
      </c>
      <c r="B4" s="2138"/>
      <c r="C4" s="1206">
        <v>42036</v>
      </c>
      <c r="D4" s="1814">
        <f>C4+1</f>
        <v>42037</v>
      </c>
      <c r="E4" s="1814">
        <f t="shared" ref="E4:AD4" si="1">D4+1</f>
        <v>42038</v>
      </c>
      <c r="F4" s="1814">
        <f t="shared" si="1"/>
        <v>42039</v>
      </c>
      <c r="G4" s="1814">
        <f t="shared" si="1"/>
        <v>42040</v>
      </c>
      <c r="H4" s="1814">
        <f t="shared" si="1"/>
        <v>42041</v>
      </c>
      <c r="I4" s="1814">
        <f t="shared" si="1"/>
        <v>42042</v>
      </c>
      <c r="J4" s="1814">
        <f t="shared" si="1"/>
        <v>42043</v>
      </c>
      <c r="K4" s="1814">
        <f t="shared" si="1"/>
        <v>42044</v>
      </c>
      <c r="L4" s="1814">
        <f t="shared" si="1"/>
        <v>42045</v>
      </c>
      <c r="M4" s="1814">
        <f t="shared" si="1"/>
        <v>42046</v>
      </c>
      <c r="N4" s="1814">
        <f t="shared" si="1"/>
        <v>42047</v>
      </c>
      <c r="O4" s="1814">
        <f t="shared" si="1"/>
        <v>42048</v>
      </c>
      <c r="P4" s="1814">
        <f t="shared" si="1"/>
        <v>42049</v>
      </c>
      <c r="Q4" s="1814">
        <f t="shared" si="1"/>
        <v>42050</v>
      </c>
      <c r="R4" s="1814">
        <f t="shared" si="1"/>
        <v>42051</v>
      </c>
      <c r="S4" s="1814">
        <f t="shared" si="1"/>
        <v>42052</v>
      </c>
      <c r="T4" s="1814">
        <f t="shared" si="1"/>
        <v>42053</v>
      </c>
      <c r="U4" s="1814">
        <f t="shared" si="1"/>
        <v>42054</v>
      </c>
      <c r="V4" s="1814">
        <f t="shared" si="1"/>
        <v>42055</v>
      </c>
      <c r="W4" s="1814">
        <f t="shared" si="1"/>
        <v>42056</v>
      </c>
      <c r="X4" s="1814">
        <f t="shared" si="1"/>
        <v>42057</v>
      </c>
      <c r="Y4" s="1814">
        <f t="shared" si="1"/>
        <v>42058</v>
      </c>
      <c r="Z4" s="1814">
        <f t="shared" si="1"/>
        <v>42059</v>
      </c>
      <c r="AA4" s="1814">
        <f t="shared" si="1"/>
        <v>42060</v>
      </c>
      <c r="AB4" s="1814">
        <f t="shared" si="1"/>
        <v>42061</v>
      </c>
      <c r="AC4" s="1814">
        <f t="shared" si="1"/>
        <v>42062</v>
      </c>
      <c r="AD4" s="1814">
        <f t="shared" si="1"/>
        <v>42063</v>
      </c>
      <c r="AE4" s="1814"/>
      <c r="AF4" s="1814"/>
      <c r="AG4" s="1814">
        <v>42036</v>
      </c>
      <c r="AH4" s="1207" t="s">
        <v>153</v>
      </c>
      <c r="AI4" s="1208"/>
      <c r="AJ4" s="1199"/>
      <c r="AK4" s="1199"/>
      <c r="AL4" s="1199"/>
      <c r="AM4" s="1199"/>
      <c r="AN4" s="1199"/>
      <c r="AO4" s="1199"/>
      <c r="AP4" s="1199"/>
      <c r="AQ4" s="1199"/>
      <c r="AR4" s="1199"/>
      <c r="AS4" s="1199"/>
      <c r="AT4" s="1199"/>
      <c r="AU4" s="1199"/>
      <c r="AV4" s="1199"/>
      <c r="AW4" s="1199"/>
      <c r="AX4" s="1199"/>
      <c r="AY4" s="1199"/>
      <c r="AZ4" s="1199"/>
      <c r="BA4" s="1199"/>
      <c r="BB4" s="1199"/>
      <c r="BC4" s="1199"/>
      <c r="BD4" s="1199"/>
      <c r="BE4" s="1199"/>
      <c r="BF4" s="1199"/>
      <c r="BG4" s="1199"/>
      <c r="BH4" s="1199"/>
      <c r="BI4" s="1199"/>
      <c r="BJ4" s="1199"/>
      <c r="BK4" s="1199"/>
      <c r="BL4" s="1199"/>
      <c r="BM4" s="1199"/>
      <c r="BN4" s="1199"/>
      <c r="BO4" s="1199"/>
    </row>
    <row r="5" spans="1:67" s="1200" customFormat="1" ht="15.75">
      <c r="A5" s="2133" t="s">
        <v>165</v>
      </c>
      <c r="B5" s="2133"/>
      <c r="C5" s="1209"/>
      <c r="D5" s="1210"/>
      <c r="E5" s="1210"/>
      <c r="F5" s="1210"/>
      <c r="G5" s="1210"/>
      <c r="H5" s="1210"/>
      <c r="I5" s="1210"/>
      <c r="J5" s="1210"/>
      <c r="K5" s="1210"/>
      <c r="L5" s="1210"/>
      <c r="M5" s="1210"/>
      <c r="N5" s="1210"/>
      <c r="O5" s="1210"/>
      <c r="P5" s="1210"/>
      <c r="Q5" s="1210"/>
      <c r="R5" s="1210"/>
      <c r="S5" s="1210"/>
      <c r="T5" s="1210"/>
      <c r="U5" s="1210"/>
      <c r="V5" s="1210"/>
      <c r="W5" s="1210"/>
      <c r="X5" s="1210"/>
      <c r="Y5" s="1210"/>
      <c r="Z5" s="1210"/>
      <c r="AA5" s="1210"/>
      <c r="AB5" s="1210"/>
      <c r="AC5" s="1210"/>
      <c r="AD5" s="1210"/>
      <c r="AE5" s="1210"/>
      <c r="AF5" s="1210"/>
      <c r="AG5" s="1210"/>
      <c r="AH5" s="1211"/>
      <c r="AI5" s="1208"/>
      <c r="AJ5" s="1199"/>
      <c r="AK5" s="1199"/>
      <c r="AL5" s="1199"/>
      <c r="AM5" s="1199"/>
      <c r="AN5" s="1199"/>
      <c r="AO5" s="1199"/>
      <c r="AP5" s="1199"/>
      <c r="AQ5" s="1199"/>
      <c r="AR5" s="1199"/>
      <c r="AS5" s="1199"/>
      <c r="AT5" s="1199"/>
      <c r="AU5" s="1199"/>
      <c r="AV5" s="1199"/>
      <c r="AW5" s="1199"/>
      <c r="AX5" s="1199"/>
      <c r="AY5" s="1199"/>
      <c r="AZ5" s="1199"/>
      <c r="BA5" s="1199"/>
      <c r="BB5" s="1199"/>
      <c r="BC5" s="1199"/>
      <c r="BD5" s="1199"/>
      <c r="BE5" s="1199"/>
      <c r="BF5" s="1199"/>
      <c r="BG5" s="1199"/>
      <c r="BH5" s="1199"/>
      <c r="BI5" s="1199"/>
      <c r="BJ5" s="1199"/>
      <c r="BK5" s="1199"/>
      <c r="BL5" s="1199"/>
      <c r="BM5" s="1199"/>
      <c r="BN5" s="1199"/>
      <c r="BO5" s="1199"/>
    </row>
    <row r="6" spans="1:67" s="1200" customFormat="1" ht="15.75">
      <c r="A6" s="2135" t="s">
        <v>289</v>
      </c>
      <c r="B6" s="1212" t="s">
        <v>166</v>
      </c>
      <c r="C6" s="1213">
        <f>COUNTIF(Мероприятия_план!$AE$8:$AE$11,C4)</f>
        <v>0</v>
      </c>
      <c r="D6" s="1213">
        <f>COUNTIF(Мероприятия_план!$AE$8:$AE$11,D4)</f>
        <v>0</v>
      </c>
      <c r="E6" s="1213">
        <f>COUNTIF(Мероприятия_план!$AE$8:$AE$11,E4)</f>
        <v>0</v>
      </c>
      <c r="F6" s="1213">
        <f>COUNTIF(Мероприятия_план!$AE$8:$AE$11,F4)</f>
        <v>0</v>
      </c>
      <c r="G6" s="1213">
        <f>COUNTIF(Мероприятия_план!$AE$8:$AE$11,G4)</f>
        <v>0</v>
      </c>
      <c r="H6" s="1213">
        <f>COUNTIF(Мероприятия_план!$AE$8:$AE$11,H4)</f>
        <v>0</v>
      </c>
      <c r="I6" s="1213">
        <f>COUNTIF(Мероприятия_план!$AE$8:$AE$11,I4)</f>
        <v>0</v>
      </c>
      <c r="J6" s="1213">
        <f>COUNTIF(Мероприятия_план!$AE$8:$AE$11,J4)</f>
        <v>0</v>
      </c>
      <c r="K6" s="1213">
        <f>COUNTIF(Мероприятия_план!$AE$8:$AE$11,K4)</f>
        <v>0</v>
      </c>
      <c r="L6" s="1213">
        <f>COUNTIF(Мероприятия_план!$AE$8:$AE$11,L4)</f>
        <v>0</v>
      </c>
      <c r="M6" s="1213">
        <f>COUNTIF(Мероприятия_план!$AE$8:$AE$11,M4)</f>
        <v>0</v>
      </c>
      <c r="N6" s="1213">
        <f>COUNTIF(Мероприятия_план!$AE$8:$AE$11,N4)</f>
        <v>0</v>
      </c>
      <c r="O6" s="1213">
        <f>COUNTIF(Мероприятия_план!$AE$8:$AE$11,O4)</f>
        <v>0</v>
      </c>
      <c r="P6" s="1213">
        <f>COUNTIF(Мероприятия_план!$AE$8:$AE$11,P4)</f>
        <v>0</v>
      </c>
      <c r="Q6" s="1213">
        <f>COUNTIF(Мероприятия_план!$AE$8:$AE$11,Q4)</f>
        <v>0</v>
      </c>
      <c r="R6" s="1213">
        <f>COUNTIF(Мероприятия_план!$AE$8:$AE$11,R4)</f>
        <v>0</v>
      </c>
      <c r="S6" s="1213">
        <f>COUNTIF(Мероприятия_план!$AE$8:$AE$11,S4)</f>
        <v>0</v>
      </c>
      <c r="T6" s="1213">
        <f>COUNTIF(Мероприятия_план!$AE$8:$AE$11,T4)</f>
        <v>0</v>
      </c>
      <c r="U6" s="1213">
        <f>COUNTIF(Мероприятия_план!$AE$8:$AE$11,U4)</f>
        <v>0</v>
      </c>
      <c r="V6" s="1213">
        <f>COUNTIF(Мероприятия_план!$AE$8:$AE$11,V4)</f>
        <v>0</v>
      </c>
      <c r="W6" s="1213">
        <f>COUNTIF(Мероприятия_план!$AE$8:$AE$11,W4)</f>
        <v>0</v>
      </c>
      <c r="X6" s="1213">
        <f>COUNTIF(Мероприятия_план!$AE$8:$AE$11,X4)</f>
        <v>0</v>
      </c>
      <c r="Y6" s="1213">
        <f>COUNTIF(Мероприятия_план!$AE$8:$AE$11,Y4)</f>
        <v>0</v>
      </c>
      <c r="Z6" s="1213">
        <f>COUNTIF(Мероприятия_план!$AE$8:$AE$11,Z4)</f>
        <v>0</v>
      </c>
      <c r="AA6" s="1213">
        <f>COUNTIF(Мероприятия_план!$AE$8:$AE$11,AA4)</f>
        <v>0</v>
      </c>
      <c r="AB6" s="1213">
        <f>COUNTIF(Мероприятия_план!$AE$8:$AE$11,AB4)</f>
        <v>0</v>
      </c>
      <c r="AC6" s="1213">
        <f>COUNTIF(Мероприятия_план!$AE$8:$AE$11,AC4)</f>
        <v>0</v>
      </c>
      <c r="AD6" s="1213">
        <f>COUNTIF(Мероприятия_план!$AE$8:$AE$11,AD4)</f>
        <v>1</v>
      </c>
      <c r="AE6" s="1213"/>
      <c r="AF6" s="1213"/>
      <c r="AG6" s="1213"/>
      <c r="AH6" s="1214">
        <f>SUM(C6:AG6)</f>
        <v>1</v>
      </c>
      <c r="AI6" s="1208"/>
      <c r="AJ6" s="1215"/>
      <c r="AK6" s="1215"/>
      <c r="AL6" s="1199"/>
      <c r="AM6" s="1199"/>
      <c r="AN6" s="1199"/>
      <c r="AO6" s="1199"/>
      <c r="AP6" s="1199"/>
      <c r="AQ6" s="1199"/>
      <c r="AR6" s="1199"/>
      <c r="AS6" s="1199"/>
      <c r="AT6" s="1199"/>
      <c r="AU6" s="1199"/>
      <c r="AV6" s="1199"/>
      <c r="AW6" s="1199"/>
      <c r="AX6" s="1199"/>
      <c r="AY6" s="1199"/>
      <c r="AZ6" s="1199"/>
      <c r="BA6" s="1199"/>
      <c r="BB6" s="1199"/>
      <c r="BC6" s="1199"/>
      <c r="BD6" s="1199"/>
      <c r="BE6" s="1199"/>
      <c r="BF6" s="1199"/>
      <c r="BG6" s="1199"/>
      <c r="BH6" s="1199"/>
      <c r="BI6" s="1199"/>
      <c r="BJ6" s="1199"/>
      <c r="BK6" s="1199"/>
      <c r="BL6" s="1199"/>
      <c r="BM6" s="1199"/>
      <c r="BN6" s="1199"/>
      <c r="BO6" s="1199"/>
    </row>
    <row r="7" spans="1:67" s="1200" customFormat="1" ht="15.75">
      <c r="A7" s="2135"/>
      <c r="B7" s="1212" t="s">
        <v>142</v>
      </c>
      <c r="C7" s="1216">
        <f>SUMIF(Мероприятия_план!$AE$8:$AE$11,C4,Мероприятия_план!$M$8:$M$11)</f>
        <v>0</v>
      </c>
      <c r="D7" s="1216">
        <f>SUMIF(Мероприятия_план!$AE$8:$AE$11,D4,Мероприятия_план!$M$8:$M$11)</f>
        <v>0</v>
      </c>
      <c r="E7" s="1216">
        <f>SUMIF(Мероприятия_план!$AE$8:$AE$11,E4,Мероприятия_план!$M$8:$M$11)</f>
        <v>0</v>
      </c>
      <c r="F7" s="1216">
        <f>SUMIF(Мероприятия_план!$AE$8:$AE$11,F4,Мероприятия_план!$M$8:$M$11)</f>
        <v>0</v>
      </c>
      <c r="G7" s="1216">
        <f>SUMIF(Мероприятия_план!$AE$8:$AE$11,G4,Мероприятия_план!$M$8:$M$11)</f>
        <v>0</v>
      </c>
      <c r="H7" s="1216">
        <f>SUMIF(Мероприятия_план!$AE$8:$AE$11,H4,Мероприятия_план!$M$8:$M$11)</f>
        <v>0</v>
      </c>
      <c r="I7" s="1216">
        <f>SUMIF(Мероприятия_план!$AE$8:$AE$11,I4,Мероприятия_план!$M$8:$M$11)</f>
        <v>0</v>
      </c>
      <c r="J7" s="1216">
        <f>SUMIF(Мероприятия_план!$AE$8:$AE$11,J4,Мероприятия_план!$M$8:$M$11)</f>
        <v>0</v>
      </c>
      <c r="K7" s="1216">
        <f>SUMIF(Мероприятия_план!$AE$8:$AE$11,K4,Мероприятия_план!$M$8:$M$11)</f>
        <v>0</v>
      </c>
      <c r="L7" s="1216">
        <f>SUMIF(Мероприятия_план!$AE$8:$AE$11,L4,Мероприятия_план!$M$8:$M$11)</f>
        <v>0</v>
      </c>
      <c r="M7" s="1216">
        <f>SUMIF(Мероприятия_план!$AE$8:$AE$11,M4,Мероприятия_план!$M$8:$M$11)</f>
        <v>0</v>
      </c>
      <c r="N7" s="1216">
        <f>SUMIF(Мероприятия_план!$AE$8:$AE$11,N4,Мероприятия_план!$M$8:$M$11)</f>
        <v>0</v>
      </c>
      <c r="O7" s="1216">
        <f>SUMIF(Мероприятия_план!$AE$8:$AE$11,O4,Мероприятия_план!$M$8:$M$11)</f>
        <v>0</v>
      </c>
      <c r="P7" s="1216">
        <f>SUMIF(Мероприятия_план!$AE$8:$AE$11,P4,Мероприятия_план!$M$8:$M$11)</f>
        <v>0</v>
      </c>
      <c r="Q7" s="1216">
        <f>SUMIF(Мероприятия_план!$AE$8:$AE$11,Q4,Мероприятия_план!$M$8:$M$11)</f>
        <v>0</v>
      </c>
      <c r="R7" s="1216">
        <f>SUMIF(Мероприятия_план!$AE$8:$AE$11,R4,Мероприятия_план!$M$8:$M$11)</f>
        <v>0</v>
      </c>
      <c r="S7" s="1216">
        <f>SUMIF(Мероприятия_план!$AE$8:$AE$11,S4,Мероприятия_план!$M$8:$M$11)</f>
        <v>0</v>
      </c>
      <c r="T7" s="1216">
        <f>SUMIF(Мероприятия_план!$AE$8:$AE$11,T4,Мероприятия_план!$M$8:$M$11)</f>
        <v>0</v>
      </c>
      <c r="U7" s="1216">
        <f>SUMIF(Мероприятия_план!$AE$8:$AE$11,U4,Мероприятия_план!$M$8:$M$11)</f>
        <v>0</v>
      </c>
      <c r="V7" s="1216">
        <f>SUMIF(Мероприятия_план!$AE$8:$AE$11,V4,Мероприятия_план!$M$8:$M$11)</f>
        <v>0</v>
      </c>
      <c r="W7" s="1216">
        <f>SUMIF(Мероприятия_план!$AE$8:$AE$11,W4,Мероприятия_план!$M$8:$M$11)</f>
        <v>0</v>
      </c>
      <c r="X7" s="1216">
        <f>SUMIF(Мероприятия_план!$AE$8:$AE$11,X4,Мероприятия_план!$M$8:$M$11)</f>
        <v>0</v>
      </c>
      <c r="Y7" s="1216">
        <f>SUMIF(Мероприятия_план!$AE$8:$AE$11,Y4,Мероприятия_план!$M$8:$M$11)</f>
        <v>0</v>
      </c>
      <c r="Z7" s="1216">
        <f>SUMIF(Мероприятия_план!$AE$8:$AE$11,Z4,Мероприятия_план!$M$8:$M$11)</f>
        <v>0</v>
      </c>
      <c r="AA7" s="1216">
        <f>SUMIF(Мероприятия_план!$AE$8:$AE$11,AA4,Мероприятия_план!$M$8:$M$11)</f>
        <v>0</v>
      </c>
      <c r="AB7" s="1216">
        <f>SUMIF(Мероприятия_план!$AE$8:$AE$11,AB4,Мероприятия_план!$M$8:$M$11)</f>
        <v>0</v>
      </c>
      <c r="AC7" s="1216">
        <f>SUMIF(Мероприятия_план!$AE$8:$AE$11,AC4,Мероприятия_план!$M$8:$M$11)</f>
        <v>0</v>
      </c>
      <c r="AD7" s="1216">
        <f>SUMIF(Мероприятия_план!$AE$8:$AE$11,AD4,Мероприятия_план!$M$8:$M$11)</f>
        <v>89</v>
      </c>
      <c r="AE7" s="1216"/>
      <c r="AF7" s="1216"/>
      <c r="AG7" s="1216"/>
      <c r="AH7" s="1217">
        <f>SUM(C7:AG7)</f>
        <v>89</v>
      </c>
      <c r="AI7" s="1208"/>
      <c r="AJ7" s="1215"/>
      <c r="AK7" s="1215"/>
      <c r="AL7" s="1199"/>
      <c r="AM7" s="1199"/>
      <c r="AN7" s="1199"/>
      <c r="AO7" s="1199"/>
      <c r="AP7" s="1199"/>
      <c r="AQ7" s="1199"/>
      <c r="AR7" s="1199"/>
      <c r="AS7" s="1199"/>
      <c r="AT7" s="1199"/>
      <c r="AU7" s="1199"/>
      <c r="AV7" s="1199"/>
      <c r="AW7" s="1199"/>
      <c r="AX7" s="1199"/>
      <c r="AY7" s="1199"/>
      <c r="AZ7" s="1199"/>
      <c r="BA7" s="1199"/>
      <c r="BB7" s="1199"/>
      <c r="BC7" s="1199"/>
      <c r="BD7" s="1199"/>
      <c r="BE7" s="1199"/>
      <c r="BF7" s="1199"/>
      <c r="BG7" s="1199"/>
      <c r="BH7" s="1199"/>
      <c r="BI7" s="1199"/>
      <c r="BJ7" s="1199"/>
      <c r="BK7" s="1199"/>
      <c r="BL7" s="1199"/>
      <c r="BM7" s="1199"/>
      <c r="BN7" s="1199"/>
      <c r="BO7" s="1199"/>
    </row>
    <row r="8" spans="1:67" s="1221" customFormat="1" ht="15.75">
      <c r="A8" s="2135" t="s">
        <v>281</v>
      </c>
      <c r="B8" s="1212" t="s">
        <v>166</v>
      </c>
      <c r="C8" s="1213"/>
      <c r="D8" s="1213"/>
      <c r="E8" s="1213"/>
      <c r="F8" s="1213"/>
      <c r="G8" s="1213"/>
      <c r="H8" s="1213"/>
      <c r="I8" s="1213"/>
      <c r="J8" s="1213"/>
      <c r="K8" s="1213"/>
      <c r="L8" s="1213"/>
      <c r="M8" s="1213"/>
      <c r="N8" s="1213"/>
      <c r="O8" s="1213"/>
      <c r="P8" s="1213"/>
      <c r="Q8" s="1213"/>
      <c r="R8" s="1213"/>
      <c r="S8" s="1213"/>
      <c r="T8" s="1213"/>
      <c r="U8" s="1213"/>
      <c r="V8" s="1213"/>
      <c r="W8" s="1213"/>
      <c r="X8" s="1213"/>
      <c r="Y8" s="1213"/>
      <c r="Z8" s="1213"/>
      <c r="AA8" s="1213"/>
      <c r="AB8" s="1213"/>
      <c r="AC8" s="1213"/>
      <c r="AD8" s="1213"/>
      <c r="AE8" s="1213"/>
      <c r="AF8" s="1213"/>
      <c r="AG8" s="1213"/>
      <c r="AH8" s="1214">
        <f t="shared" ref="AH8:AH35" si="2">SUM(C8:AG8)</f>
        <v>0</v>
      </c>
      <c r="AI8" s="1218"/>
      <c r="AJ8" s="1219"/>
      <c r="AK8" s="1219"/>
      <c r="AL8" s="1199"/>
      <c r="AM8" s="1199"/>
      <c r="AN8" s="1220"/>
      <c r="AO8" s="1220"/>
      <c r="AP8" s="1220"/>
      <c r="AQ8" s="1220"/>
      <c r="AR8" s="1220"/>
      <c r="AS8" s="1220"/>
      <c r="AT8" s="1220"/>
      <c r="AU8" s="1220"/>
      <c r="AV8" s="1220"/>
      <c r="AW8" s="1220"/>
      <c r="AX8" s="1220"/>
      <c r="AY8" s="1220"/>
      <c r="AZ8" s="1220"/>
      <c r="BA8" s="1220"/>
      <c r="BB8" s="1220"/>
      <c r="BC8" s="1220"/>
      <c r="BD8" s="1220"/>
      <c r="BE8" s="1220"/>
      <c r="BF8" s="1220"/>
      <c r="BG8" s="1220"/>
      <c r="BH8" s="1220"/>
      <c r="BI8" s="1220"/>
      <c r="BJ8" s="1220"/>
      <c r="BK8" s="1220"/>
      <c r="BL8" s="1220"/>
      <c r="BM8" s="1220"/>
      <c r="BN8" s="1220"/>
      <c r="BO8" s="1220"/>
    </row>
    <row r="9" spans="1:67" s="1200" customFormat="1" ht="15.75">
      <c r="A9" s="2135"/>
      <c r="B9" s="1212" t="s">
        <v>142</v>
      </c>
      <c r="C9" s="1216"/>
      <c r="D9" s="1216"/>
      <c r="E9" s="1216"/>
      <c r="F9" s="1216"/>
      <c r="G9" s="1216"/>
      <c r="H9" s="1216"/>
      <c r="I9" s="1216"/>
      <c r="J9" s="1216"/>
      <c r="K9" s="1216"/>
      <c r="L9" s="1216"/>
      <c r="M9" s="1216"/>
      <c r="N9" s="1216"/>
      <c r="O9" s="1216"/>
      <c r="P9" s="1216"/>
      <c r="Q9" s="1216"/>
      <c r="R9" s="1216"/>
      <c r="S9" s="1216"/>
      <c r="T9" s="1216"/>
      <c r="U9" s="1216"/>
      <c r="V9" s="1216"/>
      <c r="W9" s="1216"/>
      <c r="X9" s="1216"/>
      <c r="Y9" s="1216"/>
      <c r="Z9" s="1216"/>
      <c r="AA9" s="1216"/>
      <c r="AB9" s="1216"/>
      <c r="AC9" s="1216"/>
      <c r="AD9" s="1216"/>
      <c r="AE9" s="1216"/>
      <c r="AF9" s="1216"/>
      <c r="AG9" s="1216"/>
      <c r="AH9" s="1214">
        <f t="shared" si="2"/>
        <v>0</v>
      </c>
      <c r="AI9" s="1208"/>
      <c r="AJ9" s="1215"/>
      <c r="AK9" s="1215"/>
      <c r="AL9" s="1199"/>
      <c r="AM9" s="1199"/>
      <c r="AN9" s="1199"/>
      <c r="AO9" s="1199"/>
      <c r="AP9" s="1199"/>
      <c r="AQ9" s="1199"/>
      <c r="AR9" s="1199"/>
      <c r="AS9" s="1199"/>
      <c r="AT9" s="1199"/>
      <c r="AU9" s="1199"/>
      <c r="AV9" s="1199"/>
      <c r="AW9" s="1199"/>
      <c r="AX9" s="1199"/>
      <c r="AY9" s="1199"/>
      <c r="AZ9" s="1199"/>
      <c r="BA9" s="1199"/>
      <c r="BB9" s="1199"/>
      <c r="BC9" s="1199"/>
      <c r="BD9" s="1199"/>
      <c r="BE9" s="1199"/>
      <c r="BF9" s="1199"/>
      <c r="BG9" s="1199"/>
      <c r="BH9" s="1199"/>
      <c r="BI9" s="1199"/>
      <c r="BJ9" s="1199"/>
      <c r="BK9" s="1199"/>
      <c r="BL9" s="1199"/>
      <c r="BM9" s="1199"/>
      <c r="BN9" s="1199"/>
      <c r="BO9" s="1199"/>
    </row>
    <row r="10" spans="1:67" s="1221" customFormat="1" ht="15.75">
      <c r="A10" s="2135" t="s">
        <v>280</v>
      </c>
      <c r="B10" s="1212" t="s">
        <v>166</v>
      </c>
      <c r="C10" s="1213">
        <f>COUNTIF(Мероприятия_план!$AE$48:$AE$51,C4)</f>
        <v>0</v>
      </c>
      <c r="D10" s="1213">
        <f>COUNTIF(Мероприятия_план!$AE$48:$AE$51,D4)</f>
        <v>0</v>
      </c>
      <c r="E10" s="1213">
        <f>COUNTIF(Мероприятия_план!$AE$48:$AE$51,E4)</f>
        <v>1</v>
      </c>
      <c r="F10" s="1213">
        <f>COUNTIF(Мероприятия_план!$AE$48:$AE$51,F4)</f>
        <v>0</v>
      </c>
      <c r="G10" s="1213">
        <f>COUNTIF(Мероприятия_план!$AE$48:$AE$51,G4)</f>
        <v>0</v>
      </c>
      <c r="H10" s="1213">
        <f>COUNTIF(Мероприятия_план!$AE$48:$AE$51,H4)</f>
        <v>0</v>
      </c>
      <c r="I10" s="1213">
        <f>COUNTIF(Мероприятия_план!$AE$48:$AE$51,I4)</f>
        <v>0</v>
      </c>
      <c r="J10" s="1213">
        <f>COUNTIF(Мероприятия_план!$AE$48:$AE$51,J4)</f>
        <v>0</v>
      </c>
      <c r="K10" s="1213">
        <f>COUNTIF(Мероприятия_план!$AE$48:$AE$51,K4)</f>
        <v>0</v>
      </c>
      <c r="L10" s="1213">
        <f>COUNTIF(Мероприятия_план!$AE$48:$AE$51,L4)</f>
        <v>0</v>
      </c>
      <c r="M10" s="1213">
        <f>COUNTIF(Мероприятия_план!$AE$48:$AE$51,M4)</f>
        <v>0</v>
      </c>
      <c r="N10" s="1213">
        <f>COUNTIF(Мероприятия_план!$AE$48:$AE$51,N4)</f>
        <v>0</v>
      </c>
      <c r="O10" s="1213">
        <f>COUNTIF(Мероприятия_план!$AE$48:$AE$51,O4)</f>
        <v>0</v>
      </c>
      <c r="P10" s="1213">
        <f>COUNTIF(Мероприятия_план!$AE$48:$AE$51,P4)</f>
        <v>0</v>
      </c>
      <c r="Q10" s="1213">
        <f>COUNTIF(Мероприятия_план!$AE$48:$AE$51,Q4)</f>
        <v>0</v>
      </c>
      <c r="R10" s="1213">
        <f>COUNTIF(Мероприятия_план!$AE$48:$AE$51,R4)</f>
        <v>0</v>
      </c>
      <c r="S10" s="1213">
        <f>COUNTIF(Мероприятия_план!$AE$48:$AE$51,S4)</f>
        <v>0</v>
      </c>
      <c r="T10" s="1213">
        <f>COUNTIF(Мероприятия_план!$AE$48:$AE$51,T4)</f>
        <v>0</v>
      </c>
      <c r="U10" s="1213">
        <f>COUNTIF(Мероприятия_план!$AE$48:$AE$51,U4)</f>
        <v>0</v>
      </c>
      <c r="V10" s="1213">
        <f>COUNTIF(Мероприятия_план!$AE$48:$AE$51,V4)</f>
        <v>0</v>
      </c>
      <c r="W10" s="1213">
        <f>COUNTIF(Мероприятия_план!$AE$48:$AE$51,W4)</f>
        <v>0</v>
      </c>
      <c r="X10" s="1213">
        <f>COUNTIF(Мероприятия_план!$AE$48:$AE$51,X4)</f>
        <v>0</v>
      </c>
      <c r="Y10" s="1213">
        <f>COUNTIF(Мероприятия_план!$AE$48:$AE$51,Y4)</f>
        <v>0</v>
      </c>
      <c r="Z10" s="1213">
        <f>COUNTIF(Мероприятия_план!$AE$48:$AE$51,Z4)</f>
        <v>0</v>
      </c>
      <c r="AA10" s="1213">
        <f>COUNTIF(Мероприятия_план!$AE$48:$AE$51,AA4)</f>
        <v>0</v>
      </c>
      <c r="AB10" s="1213">
        <f>COUNTIF(Мероприятия_план!$AE$48:$AE$51,AB4)</f>
        <v>0</v>
      </c>
      <c r="AC10" s="1213">
        <f>COUNTIF(Мероприятия_план!$AE$48:$AE$51,AC4)</f>
        <v>0</v>
      </c>
      <c r="AD10" s="1213">
        <f>COUNTIF(Мероприятия_план!$AE$48:$AE$51,AD4)</f>
        <v>0</v>
      </c>
      <c r="AE10" s="1213"/>
      <c r="AF10" s="1213"/>
      <c r="AG10" s="1213"/>
      <c r="AH10" s="1214">
        <f t="shared" si="2"/>
        <v>1</v>
      </c>
      <c r="AI10" s="1208"/>
      <c r="AJ10" s="1219"/>
      <c r="AK10" s="1219"/>
      <c r="AL10" s="1199"/>
      <c r="AM10" s="1199"/>
      <c r="AN10" s="1220"/>
      <c r="AO10" s="1220"/>
      <c r="AP10" s="1220"/>
      <c r="AQ10" s="1220"/>
      <c r="AR10" s="1220"/>
      <c r="AS10" s="1220"/>
      <c r="AT10" s="1220"/>
      <c r="AU10" s="1220"/>
      <c r="AV10" s="1220"/>
      <c r="AW10" s="1220"/>
      <c r="AX10" s="1220"/>
      <c r="AY10" s="1220"/>
      <c r="AZ10" s="1220"/>
      <c r="BA10" s="1220"/>
      <c r="BB10" s="1220"/>
      <c r="BC10" s="1220"/>
      <c r="BD10" s="1220"/>
      <c r="BE10" s="1220"/>
      <c r="BF10" s="1220"/>
      <c r="BG10" s="1220"/>
      <c r="BH10" s="1220"/>
      <c r="BI10" s="1220"/>
      <c r="BJ10" s="1220"/>
      <c r="BK10" s="1220"/>
      <c r="BL10" s="1220"/>
      <c r="BM10" s="1220"/>
      <c r="BN10" s="1220"/>
      <c r="BO10" s="1220"/>
    </row>
    <row r="11" spans="1:67" s="1200" customFormat="1" ht="15.75">
      <c r="A11" s="2135"/>
      <c r="B11" s="1212" t="s">
        <v>142</v>
      </c>
      <c r="C11" s="1216">
        <f>SUMIF(Мероприятия_план!$AE$48:$AE$51,C4,Мероприятия_план!$M$48:$M$51)</f>
        <v>0</v>
      </c>
      <c r="D11" s="1216">
        <f>SUMIF(Мероприятия_план!$AE$48:$AE$51,D4,Мероприятия_план!$M$48:$M$51)</f>
        <v>0</v>
      </c>
      <c r="E11" s="1216">
        <f>SUMIF(Мероприятия_план!$AE$48:$AE$51,E4,Мероприятия_план!$M$48:$M$51)</f>
        <v>44</v>
      </c>
      <c r="F11" s="1216">
        <f>SUMIF(Мероприятия_план!$AE$48:$AE$51,F4,Мероприятия_план!$M$48:$M$51)</f>
        <v>0</v>
      </c>
      <c r="G11" s="1216">
        <f>SUMIF(Мероприятия_план!$AE$48:$AE$51,G4,Мероприятия_план!$M$48:$M$51)</f>
        <v>0</v>
      </c>
      <c r="H11" s="1216">
        <f>SUMIF(Мероприятия_план!$AE$48:$AE$51,H4,Мероприятия_план!$M$48:$M$51)</f>
        <v>0</v>
      </c>
      <c r="I11" s="1216">
        <f>SUMIF(Мероприятия_план!$AE$48:$AE$51,I4,Мероприятия_план!$M$48:$M$51)</f>
        <v>0</v>
      </c>
      <c r="J11" s="1216">
        <f>SUMIF(Мероприятия_план!$AE$48:$AE$51,J4,Мероприятия_план!$M$48:$M$51)</f>
        <v>0</v>
      </c>
      <c r="K11" s="1216">
        <f>SUMIF(Мероприятия_план!$AE$48:$AE$51,K4,Мероприятия_план!$M$48:$M$51)</f>
        <v>0</v>
      </c>
      <c r="L11" s="1216">
        <f>SUMIF(Мероприятия_план!$AE$48:$AE$51,L4,Мероприятия_план!$M$48:$M$51)</f>
        <v>0</v>
      </c>
      <c r="M11" s="1216">
        <f>SUMIF(Мероприятия_план!$AE$48:$AE$51,M4,Мероприятия_план!$M$48:$M$51)</f>
        <v>0</v>
      </c>
      <c r="N11" s="1216">
        <f>SUMIF(Мероприятия_план!$AE$48:$AE$51,N4,Мероприятия_план!$M$48:$M$51)</f>
        <v>0</v>
      </c>
      <c r="O11" s="1216">
        <f>SUMIF(Мероприятия_план!$AE$48:$AE$51,O4,Мероприятия_план!$M$48:$M$51)</f>
        <v>0</v>
      </c>
      <c r="P11" s="1216">
        <f>SUMIF(Мероприятия_план!$AE$48:$AE$51,P4,Мероприятия_план!$M$48:$M$51)</f>
        <v>0</v>
      </c>
      <c r="Q11" s="1216">
        <f>SUMIF(Мероприятия_план!$AE$48:$AE$51,Q4,Мероприятия_план!$M$48:$M$51)</f>
        <v>0</v>
      </c>
      <c r="R11" s="1216">
        <f>SUMIF(Мероприятия_план!$AE$48:$AE$51,R4,Мероприятия_план!$M$48:$M$51)</f>
        <v>0</v>
      </c>
      <c r="S11" s="1216">
        <f>SUMIF(Мероприятия_план!$AE$48:$AE$51,S4,Мероприятия_план!$M$48:$M$51)</f>
        <v>0</v>
      </c>
      <c r="T11" s="1216">
        <f>SUMIF(Мероприятия_план!$AE$48:$AE$51,T4,Мероприятия_план!$M$48:$M$51)</f>
        <v>0</v>
      </c>
      <c r="U11" s="1216">
        <f>SUMIF(Мероприятия_план!$AE$48:$AE$51,U4,Мероприятия_план!$M$48:$M$51)</f>
        <v>0</v>
      </c>
      <c r="V11" s="1216">
        <f>SUMIF(Мероприятия_план!$AE$48:$AE$51,V4,Мероприятия_план!$M$48:$M$51)</f>
        <v>0</v>
      </c>
      <c r="W11" s="1216">
        <f>SUMIF(Мероприятия_план!$AE$48:$AE$51,W4,Мероприятия_план!$M$48:$M$51)</f>
        <v>0</v>
      </c>
      <c r="X11" s="1216">
        <f>SUMIF(Мероприятия_план!$AE$48:$AE$51,X4,Мероприятия_план!$M$48:$M$51)</f>
        <v>0</v>
      </c>
      <c r="Y11" s="1216">
        <f>SUMIF(Мероприятия_план!$AE$48:$AE$51,Y4,Мероприятия_план!$M$48:$M$51)</f>
        <v>0</v>
      </c>
      <c r="Z11" s="1216">
        <f>SUMIF(Мероприятия_план!$AE$48:$AE$51,Z4,Мероприятия_план!$M$48:$M$51)</f>
        <v>0</v>
      </c>
      <c r="AA11" s="1216">
        <f>SUMIF(Мероприятия_план!$AE$48:$AE$51,AA4,Мероприятия_план!$M$48:$M$51)</f>
        <v>0</v>
      </c>
      <c r="AB11" s="1216">
        <f>SUMIF(Мероприятия_план!$AE$48:$AE$51,AB4,Мероприятия_план!$M$48:$M$51)</f>
        <v>0</v>
      </c>
      <c r="AC11" s="1216">
        <f>SUMIF(Мероприятия_план!$AE$48:$AE$51,AC4,Мероприятия_план!$M$48:$M$51)</f>
        <v>0</v>
      </c>
      <c r="AD11" s="1216">
        <f>SUMIF(Мероприятия_план!$AE$48:$AE$51,AD4,Мероприятия_план!$M$48:$M$51)</f>
        <v>0</v>
      </c>
      <c r="AE11" s="1216"/>
      <c r="AF11" s="1216"/>
      <c r="AG11" s="1216"/>
      <c r="AH11" s="1214">
        <f t="shared" si="2"/>
        <v>44</v>
      </c>
      <c r="AI11" s="1208"/>
      <c r="AJ11" s="1215"/>
      <c r="AK11" s="1215"/>
      <c r="AL11" s="1199"/>
      <c r="AM11" s="1199"/>
      <c r="AN11" s="1199"/>
      <c r="AO11" s="1199"/>
      <c r="AP11" s="1199"/>
      <c r="AQ11" s="1199"/>
      <c r="AR11" s="1199"/>
      <c r="AS11" s="1199"/>
      <c r="AT11" s="1199"/>
      <c r="AU11" s="1199"/>
      <c r="AV11" s="1199"/>
      <c r="AW11" s="1199"/>
      <c r="AX11" s="1199"/>
      <c r="AY11" s="1199"/>
      <c r="AZ11" s="1199"/>
      <c r="BA11" s="1199"/>
      <c r="BB11" s="1199"/>
      <c r="BC11" s="1199"/>
      <c r="BD11" s="1199"/>
      <c r="BE11" s="1199"/>
      <c r="BF11" s="1199"/>
      <c r="BG11" s="1199"/>
      <c r="BH11" s="1199"/>
      <c r="BI11" s="1199"/>
      <c r="BJ11" s="1199"/>
      <c r="BK11" s="1199"/>
      <c r="BL11" s="1199"/>
      <c r="BM11" s="1199"/>
      <c r="BN11" s="1199"/>
      <c r="BO11" s="1199"/>
    </row>
    <row r="12" spans="1:67" s="1200" customFormat="1" ht="15.75" hidden="1">
      <c r="A12" s="2031"/>
      <c r="B12" s="2030"/>
      <c r="C12" s="2032"/>
      <c r="D12" s="2032"/>
      <c r="E12" s="2032"/>
      <c r="F12" s="2032"/>
      <c r="G12" s="2032"/>
      <c r="H12" s="2032"/>
      <c r="I12" s="2032"/>
      <c r="J12" s="2032"/>
      <c r="K12" s="2032"/>
      <c r="L12" s="2032"/>
      <c r="M12" s="2032"/>
      <c r="N12" s="2032"/>
      <c r="O12" s="2032"/>
      <c r="P12" s="2032"/>
      <c r="Q12" s="2032"/>
      <c r="R12" s="2032"/>
      <c r="S12" s="2032"/>
      <c r="T12" s="2032"/>
      <c r="U12" s="2032"/>
      <c r="V12" s="2032"/>
      <c r="W12" s="2032"/>
      <c r="X12" s="2032"/>
      <c r="Y12" s="2032"/>
      <c r="Z12" s="2032"/>
      <c r="AA12" s="2032"/>
      <c r="AB12" s="2032"/>
      <c r="AC12" s="2032"/>
      <c r="AD12" s="2032"/>
      <c r="AE12" s="2032"/>
      <c r="AF12" s="2032"/>
      <c r="AG12" s="2032"/>
      <c r="AH12" s="1214"/>
      <c r="AI12" s="1208"/>
      <c r="AJ12" s="1215"/>
      <c r="AK12" s="1215"/>
      <c r="AL12" s="1199"/>
      <c r="AM12" s="1199"/>
      <c r="AN12" s="1199"/>
      <c r="AO12" s="1199"/>
      <c r="AP12" s="1199"/>
      <c r="AQ12" s="1199"/>
      <c r="AR12" s="1199"/>
      <c r="AS12" s="1199"/>
      <c r="AT12" s="1199"/>
      <c r="AU12" s="1199"/>
      <c r="AV12" s="1199"/>
      <c r="AW12" s="1199"/>
      <c r="AX12" s="1199"/>
      <c r="AY12" s="1199"/>
      <c r="AZ12" s="1199"/>
      <c r="BA12" s="1199"/>
      <c r="BB12" s="1199"/>
      <c r="BC12" s="1199"/>
      <c r="BD12" s="1199"/>
      <c r="BE12" s="1199"/>
      <c r="BF12" s="1199"/>
      <c r="BG12" s="1199"/>
      <c r="BH12" s="1199"/>
      <c r="BI12" s="1199"/>
      <c r="BJ12" s="1199"/>
      <c r="BK12" s="1199"/>
      <c r="BL12" s="1199"/>
      <c r="BM12" s="1199"/>
      <c r="BN12" s="1199"/>
      <c r="BO12" s="1199"/>
    </row>
    <row r="13" spans="1:67" s="1200" customFormat="1" ht="15.75" hidden="1">
      <c r="A13" s="2031"/>
      <c r="B13" s="2030"/>
      <c r="C13" s="2032"/>
      <c r="D13" s="2032"/>
      <c r="E13" s="2032"/>
      <c r="F13" s="2032"/>
      <c r="G13" s="2032"/>
      <c r="H13" s="2032"/>
      <c r="I13" s="2032"/>
      <c r="J13" s="2032"/>
      <c r="K13" s="2032"/>
      <c r="L13" s="2032"/>
      <c r="M13" s="2032"/>
      <c r="N13" s="2032"/>
      <c r="O13" s="2032"/>
      <c r="P13" s="2032"/>
      <c r="Q13" s="2032"/>
      <c r="R13" s="2032"/>
      <c r="S13" s="2032"/>
      <c r="T13" s="2032"/>
      <c r="U13" s="2032"/>
      <c r="V13" s="2032"/>
      <c r="W13" s="2032"/>
      <c r="X13" s="2032"/>
      <c r="Y13" s="2032"/>
      <c r="Z13" s="2032"/>
      <c r="AA13" s="2032"/>
      <c r="AB13" s="2032"/>
      <c r="AC13" s="2032"/>
      <c r="AD13" s="2032"/>
      <c r="AE13" s="2032"/>
      <c r="AF13" s="2032"/>
      <c r="AG13" s="2032"/>
      <c r="AH13" s="1214"/>
      <c r="AI13" s="1208"/>
      <c r="AJ13" s="1215"/>
      <c r="AK13" s="1215"/>
      <c r="AL13" s="1199"/>
      <c r="AM13" s="1199"/>
      <c r="AN13" s="1199"/>
      <c r="AO13" s="1199"/>
      <c r="AP13" s="1199"/>
      <c r="AQ13" s="1199"/>
      <c r="AR13" s="1199"/>
      <c r="AS13" s="1199"/>
      <c r="AT13" s="1199"/>
      <c r="AU13" s="1199"/>
      <c r="AV13" s="1199"/>
      <c r="AW13" s="1199"/>
      <c r="AX13" s="1199"/>
      <c r="AY13" s="1199"/>
      <c r="AZ13" s="1199"/>
      <c r="BA13" s="1199"/>
      <c r="BB13" s="1199"/>
      <c r="BC13" s="1199"/>
      <c r="BD13" s="1199"/>
      <c r="BE13" s="1199"/>
      <c r="BF13" s="1199"/>
      <c r="BG13" s="1199"/>
      <c r="BH13" s="1199"/>
      <c r="BI13" s="1199"/>
      <c r="BJ13" s="1199"/>
      <c r="BK13" s="1199"/>
      <c r="BL13" s="1199"/>
      <c r="BM13" s="1199"/>
      <c r="BN13" s="1199"/>
      <c r="BO13" s="1199"/>
    </row>
    <row r="14" spans="1:67" s="1222" customFormat="1" ht="15.75">
      <c r="A14" s="2135" t="s">
        <v>282</v>
      </c>
      <c r="B14" s="1212" t="s">
        <v>166</v>
      </c>
      <c r="C14" s="1213">
        <f>COUNTIF(Мероприятия_план!$AE$64:$AE$69,C4)</f>
        <v>0</v>
      </c>
      <c r="D14" s="1213">
        <f>COUNTIF(Мероприятия_план!$AE$64:$AE$69,D4)</f>
        <v>0</v>
      </c>
      <c r="E14" s="1213">
        <f>COUNTIF(Мероприятия_план!$AE$64:$AE$69,E4)</f>
        <v>0</v>
      </c>
      <c r="F14" s="1213">
        <f>COUNTIF(Мероприятия_план!$AE$64:$AE$69,F4)</f>
        <v>0</v>
      </c>
      <c r="G14" s="1213">
        <f>COUNTIF(Мероприятия_план!$AE$64:$AE$69,G4)</f>
        <v>0</v>
      </c>
      <c r="H14" s="1213">
        <f>COUNTIF(Мероприятия_план!$AE$64:$AE$69,H4)</f>
        <v>0</v>
      </c>
      <c r="I14" s="1213">
        <f>COUNTIF(Мероприятия_план!$AE$64:$AE$69,I4)</f>
        <v>0</v>
      </c>
      <c r="J14" s="1213">
        <f>COUNTIF(Мероприятия_план!$AE$64:$AE$69,J4)</f>
        <v>0</v>
      </c>
      <c r="K14" s="1213">
        <f>COUNTIF(Мероприятия_план!$AE$64:$AE$69,K4)</f>
        <v>0</v>
      </c>
      <c r="L14" s="1213">
        <f>COUNTIF(Мероприятия_план!$AE$64:$AE$69,L4)</f>
        <v>0</v>
      </c>
      <c r="M14" s="1213">
        <f>COUNTIF(Мероприятия_план!$AE$64:$AE$69,M4)</f>
        <v>0</v>
      </c>
      <c r="N14" s="1213">
        <f>COUNTIF(Мероприятия_план!$AE$64:$AE$69,N4)</f>
        <v>0</v>
      </c>
      <c r="O14" s="1213">
        <f>COUNTIF(Мероприятия_план!$AE$64:$AE$69,O4)</f>
        <v>0</v>
      </c>
      <c r="P14" s="1213">
        <f>COUNTIF(Мероприятия_план!$AE$64:$AE$69,P4)</f>
        <v>0</v>
      </c>
      <c r="Q14" s="1213">
        <f>COUNTIF(Мероприятия_план!$AE$64:$AE$69,Q4)</f>
        <v>0</v>
      </c>
      <c r="R14" s="1213">
        <f>COUNTIF(Мероприятия_план!$AE$64:$AE$69,R4)</f>
        <v>0</v>
      </c>
      <c r="S14" s="1213">
        <f>COUNTIF(Мероприятия_план!$AE$64:$AE$69,S4)</f>
        <v>0</v>
      </c>
      <c r="T14" s="1213">
        <f>COUNTIF(Мероприятия_план!$AE$64:$AE$69,T4)</f>
        <v>0</v>
      </c>
      <c r="U14" s="1213">
        <f>COUNTIF(Мероприятия_план!$AE$64:$AE$69,U4)</f>
        <v>0</v>
      </c>
      <c r="V14" s="1213">
        <f>COUNTIF(Мероприятия_план!$AE$64:$AE$69,V4)</f>
        <v>0</v>
      </c>
      <c r="W14" s="1213">
        <f>COUNTIF(Мероприятия_план!$AE$64:$AE$69,W4)</f>
        <v>0</v>
      </c>
      <c r="X14" s="1213">
        <f>COUNTIF(Мероприятия_план!$AE$64:$AE$69,X4)</f>
        <v>0</v>
      </c>
      <c r="Y14" s="1213">
        <f>COUNTIF(Мероприятия_план!$AE$64:$AE$69,Y4)</f>
        <v>0</v>
      </c>
      <c r="Z14" s="1213">
        <f>COUNTIF(Мероприятия_план!$AE$64:$AE$69,Z4)</f>
        <v>0</v>
      </c>
      <c r="AA14" s="1213">
        <f>COUNTIF(Мероприятия_план!$AE$64:$AE$69,AA4)</f>
        <v>0</v>
      </c>
      <c r="AB14" s="1213">
        <f>COUNTIF(Мероприятия_план!$AE$64:$AE$69,AB4)</f>
        <v>0</v>
      </c>
      <c r="AC14" s="1213">
        <f>COUNTIF(Мероприятия_план!$AE$64:$AE$69,AC4)</f>
        <v>0</v>
      </c>
      <c r="AD14" s="1213">
        <f>COUNTIF(Мероприятия_план!$AE$64:$AE$69,AD4)</f>
        <v>0</v>
      </c>
      <c r="AE14" s="1213"/>
      <c r="AF14" s="1213"/>
      <c r="AG14" s="1213"/>
      <c r="AH14" s="1214">
        <f t="shared" si="2"/>
        <v>0</v>
      </c>
      <c r="AI14" s="1208"/>
      <c r="AJ14" s="1215"/>
      <c r="AK14" s="1215"/>
      <c r="AL14" s="1199"/>
      <c r="AM14" s="1199"/>
      <c r="AN14" s="1199"/>
      <c r="AO14" s="1199"/>
      <c r="AP14" s="1199"/>
      <c r="AQ14" s="1199"/>
      <c r="AR14" s="1199"/>
      <c r="AS14" s="1199"/>
      <c r="AT14" s="1199"/>
      <c r="AU14" s="1199"/>
      <c r="AV14" s="1199"/>
      <c r="AW14" s="1199"/>
      <c r="AX14" s="1199"/>
      <c r="AY14" s="1199"/>
      <c r="AZ14" s="1199"/>
      <c r="BA14" s="1199"/>
      <c r="BB14" s="1199"/>
      <c r="BC14" s="1199"/>
      <c r="BD14" s="1199"/>
      <c r="BE14" s="1199"/>
      <c r="BF14" s="1199"/>
      <c r="BG14" s="1199"/>
      <c r="BH14" s="1199"/>
      <c r="BI14" s="1199"/>
      <c r="BJ14" s="1199"/>
      <c r="BK14" s="1199"/>
      <c r="BL14" s="1199"/>
      <c r="BM14" s="1199"/>
      <c r="BN14" s="1199"/>
      <c r="BO14" s="1199"/>
    </row>
    <row r="15" spans="1:67" s="1200" customFormat="1" ht="15.75">
      <c r="A15" s="2135"/>
      <c r="B15" s="1212" t="s">
        <v>142</v>
      </c>
      <c r="C15" s="1216">
        <f>SUMIF(Мероприятия_план!$AE$64:$AE$69,C4,Мероприятия_план!$M$64:$M$69)</f>
        <v>0</v>
      </c>
      <c r="D15" s="1216">
        <f>SUMIF(Мероприятия_план!$AE$64:$AE$69,D4,Мероприятия_план!$M$64:$M$69)</f>
        <v>0</v>
      </c>
      <c r="E15" s="1216">
        <f>SUMIF(Мероприятия_план!$AE$64:$AE$69,E4,Мероприятия_план!$M$64:$M$69)</f>
        <v>0</v>
      </c>
      <c r="F15" s="1216">
        <f>SUMIF(Мероприятия_план!$AE$64:$AE$69,F4,Мероприятия_план!$M$64:$M$69)</f>
        <v>0</v>
      </c>
      <c r="G15" s="1216">
        <f>SUMIF(Мероприятия_план!$AE$64:$AE$69,G4,Мероприятия_план!$M$64:$M$69)</f>
        <v>0</v>
      </c>
      <c r="H15" s="1216">
        <f>SUMIF(Мероприятия_план!$AE$64:$AE$69,H4,Мероприятия_план!$M$64:$M$69)</f>
        <v>0</v>
      </c>
      <c r="I15" s="1216">
        <f>SUMIF(Мероприятия_план!$AE$64:$AE$69,I4,Мероприятия_план!$M$64:$M$69)</f>
        <v>0</v>
      </c>
      <c r="J15" s="1216">
        <f>SUMIF(Мероприятия_план!$AE$64:$AE$69,J4,Мероприятия_план!$M$64:$M$69)</f>
        <v>0</v>
      </c>
      <c r="K15" s="1216">
        <f>SUMIF(Мероприятия_план!$AE$64:$AE$69,K4,Мероприятия_план!$M$64:$M$69)</f>
        <v>0</v>
      </c>
      <c r="L15" s="1216">
        <f>SUMIF(Мероприятия_план!$AE$64:$AE$69,L4,Мероприятия_план!$M$64:$M$69)</f>
        <v>0</v>
      </c>
      <c r="M15" s="1216">
        <f>SUMIF(Мероприятия_план!$AE$64:$AE$69,M4,Мероприятия_план!$M$64:$M$69)</f>
        <v>0</v>
      </c>
      <c r="N15" s="1216">
        <f>SUMIF(Мероприятия_план!$AE$64:$AE$69,N4,Мероприятия_план!$M$64:$M$69)</f>
        <v>0</v>
      </c>
      <c r="O15" s="1216">
        <f>SUMIF(Мероприятия_план!$AE$64:$AE$69,O4,Мероприятия_план!$M$64:$M$69)</f>
        <v>0</v>
      </c>
      <c r="P15" s="1216">
        <f>SUMIF(Мероприятия_план!$AE$64:$AE$69,P4,Мероприятия_план!$M$64:$M$69)</f>
        <v>0</v>
      </c>
      <c r="Q15" s="1216">
        <f>SUMIF(Мероприятия_план!$AE$64:$AE$69,Q4,Мероприятия_план!$M$64:$M$69)</f>
        <v>0</v>
      </c>
      <c r="R15" s="1216">
        <f>SUMIF(Мероприятия_план!$AE$64:$AE$69,R4,Мероприятия_план!$M$64:$M$69)</f>
        <v>0</v>
      </c>
      <c r="S15" s="1216">
        <f>SUMIF(Мероприятия_план!$AE$64:$AE$69,S4,Мероприятия_план!$M$64:$M$69)</f>
        <v>0</v>
      </c>
      <c r="T15" s="1216">
        <f>SUMIF(Мероприятия_план!$AE$64:$AE$69,T4,Мероприятия_план!$M$64:$M$69)</f>
        <v>0</v>
      </c>
      <c r="U15" s="1216">
        <f>SUMIF(Мероприятия_план!$AE$64:$AE$69,U4,Мероприятия_план!$M$64:$M$69)</f>
        <v>0</v>
      </c>
      <c r="V15" s="1216">
        <f>SUMIF(Мероприятия_план!$AE$64:$AE$69,V4,Мероприятия_план!$M$64:$M$69)</f>
        <v>0</v>
      </c>
      <c r="W15" s="1216">
        <f>SUMIF(Мероприятия_план!$AE$64:$AE$69,W4,Мероприятия_план!$M$64:$M$69)</f>
        <v>0</v>
      </c>
      <c r="X15" s="1216">
        <f>SUMIF(Мероприятия_план!$AE$64:$AE$69,X4,Мероприятия_план!$M$64:$M$69)</f>
        <v>0</v>
      </c>
      <c r="Y15" s="1216">
        <f>SUMIF(Мероприятия_план!$AE$64:$AE$69,Y4,Мероприятия_план!$M$64:$M$69)</f>
        <v>0</v>
      </c>
      <c r="Z15" s="1216">
        <f>SUMIF(Мероприятия_план!$AE$64:$AE$69,Z4,Мероприятия_план!$M$64:$M$69)</f>
        <v>0</v>
      </c>
      <c r="AA15" s="1216">
        <f>SUMIF(Мероприятия_план!$AE$64:$AE$69,AA4,Мероприятия_план!$M$64:$M$69)</f>
        <v>0</v>
      </c>
      <c r="AB15" s="1216">
        <f>SUMIF(Мероприятия_план!$AE$64:$AE$69,AB4,Мероприятия_план!$M$64:$M$69)</f>
        <v>0</v>
      </c>
      <c r="AC15" s="1216">
        <f>SUMIF(Мероприятия_план!$AE$64:$AE$69,AC4,Мероприятия_план!$M$64:$M$69)</f>
        <v>0</v>
      </c>
      <c r="AD15" s="1216">
        <f>SUMIF(Мероприятия_план!$AE$64:$AE$69,AD4,Мероприятия_план!$M$64:$M$69)</f>
        <v>0</v>
      </c>
      <c r="AE15" s="1216"/>
      <c r="AF15" s="1216"/>
      <c r="AG15" s="1216"/>
      <c r="AH15" s="1214">
        <f t="shared" si="2"/>
        <v>0</v>
      </c>
      <c r="AI15" s="1208"/>
      <c r="AJ15" s="1215"/>
      <c r="AK15" s="1215"/>
      <c r="AL15" s="1199"/>
      <c r="AM15" s="1199"/>
      <c r="AN15" s="1199"/>
      <c r="AO15" s="1199"/>
      <c r="AP15" s="1199"/>
      <c r="AQ15" s="1199"/>
      <c r="AR15" s="1199"/>
      <c r="AS15" s="1199"/>
      <c r="AT15" s="1199"/>
      <c r="AU15" s="1199"/>
      <c r="AV15" s="1199"/>
      <c r="AW15" s="1199"/>
      <c r="AX15" s="1199"/>
      <c r="AY15" s="1199"/>
      <c r="AZ15" s="1199"/>
      <c r="BA15" s="1199"/>
      <c r="BB15" s="1199"/>
      <c r="BC15" s="1199"/>
      <c r="BD15" s="1199"/>
      <c r="BE15" s="1199"/>
      <c r="BF15" s="1199"/>
      <c r="BG15" s="1199"/>
      <c r="BH15" s="1199"/>
      <c r="BI15" s="1199"/>
      <c r="BJ15" s="1199"/>
      <c r="BK15" s="1199"/>
      <c r="BL15" s="1199"/>
      <c r="BM15" s="1199"/>
      <c r="BN15" s="1199"/>
      <c r="BO15" s="1199"/>
    </row>
    <row r="16" spans="1:67" s="1200" customFormat="1" ht="15.75">
      <c r="A16" s="2135" t="s">
        <v>283</v>
      </c>
      <c r="B16" s="1212" t="s">
        <v>166</v>
      </c>
      <c r="C16" s="1213">
        <f>COUNTIF(Мероприятия_план!$AE$20:$AE$23,C4)</f>
        <v>0</v>
      </c>
      <c r="D16" s="1213">
        <f>COUNTIF(Мероприятия_план!$AE$20:$AE$23,D4)</f>
        <v>0</v>
      </c>
      <c r="E16" s="1213">
        <f>COUNTIF(Мероприятия_план!$AE$20:$AE$23,E4)</f>
        <v>0</v>
      </c>
      <c r="F16" s="1213">
        <f>COUNTIF(Мероприятия_план!$AE$20:$AE$23,F4)</f>
        <v>0</v>
      </c>
      <c r="G16" s="1213">
        <f>COUNTIF(Мероприятия_план!$AE$20:$AE$23,G4)</f>
        <v>0</v>
      </c>
      <c r="H16" s="1213">
        <f>COUNTIF(Мероприятия_план!$AE$20:$AE$23,H4)</f>
        <v>0</v>
      </c>
      <c r="I16" s="1213">
        <f>COUNTIF(Мероприятия_план!$AE$20:$AE$23,I4)</f>
        <v>0</v>
      </c>
      <c r="J16" s="1213">
        <f>COUNTIF(Мероприятия_план!$AE$20:$AE$23,J4)</f>
        <v>0</v>
      </c>
      <c r="K16" s="1213">
        <f>COUNTIF(Мероприятия_план!$AE$20:$AE$23,K4)</f>
        <v>0</v>
      </c>
      <c r="L16" s="1213">
        <f>COUNTIF(Мероприятия_план!$AE$20:$AE$23,L4)</f>
        <v>0</v>
      </c>
      <c r="M16" s="1213">
        <f>COUNTIF(Мероприятия_план!$AE$20:$AE$23,M4)</f>
        <v>0</v>
      </c>
      <c r="N16" s="1213">
        <f>COUNTIF(Мероприятия_план!$AE$20:$AE$23,N4)</f>
        <v>0</v>
      </c>
      <c r="O16" s="1213">
        <f>COUNTIF(Мероприятия_план!$AE$20:$AE$23,O4)</f>
        <v>0</v>
      </c>
      <c r="P16" s="1213">
        <f>COUNTIF(Мероприятия_план!$AE$20:$AE$23,P4)</f>
        <v>0</v>
      </c>
      <c r="Q16" s="1213">
        <f>COUNTIF(Мероприятия_план!$AE$20:$AE$23,Q4)</f>
        <v>0</v>
      </c>
      <c r="R16" s="1213">
        <f>COUNTIF(Мероприятия_план!$AE$20:$AE$23,R4)</f>
        <v>0</v>
      </c>
      <c r="S16" s="1213">
        <f>COUNTIF(Мероприятия_план!$AE$20:$AE$23,S4)</f>
        <v>0</v>
      </c>
      <c r="T16" s="1213">
        <f>COUNTIF(Мероприятия_план!$AE$20:$AE$23,T4)</f>
        <v>0</v>
      </c>
      <c r="U16" s="1213">
        <f>COUNTIF(Мероприятия_план!$AE$20:$AE$23,U4)</f>
        <v>0</v>
      </c>
      <c r="V16" s="1213">
        <f>COUNTIF(Мероприятия_план!$AE$20:$AE$23,V4)</f>
        <v>0</v>
      </c>
      <c r="W16" s="1213">
        <f>COUNTIF(Мероприятия_план!$AE$20:$AE$23,W4)</f>
        <v>0</v>
      </c>
      <c r="X16" s="1213">
        <f>COUNTIF(Мероприятия_план!$AE$20:$AE$23,X4)</f>
        <v>0</v>
      </c>
      <c r="Y16" s="1213">
        <f>COUNTIF(Мероприятия_план!$AE$20:$AE$23,Y4)</f>
        <v>0</v>
      </c>
      <c r="Z16" s="1213">
        <f>COUNTIF(Мероприятия_план!$AE$20:$AE$23,Z4)</f>
        <v>0</v>
      </c>
      <c r="AA16" s="1213">
        <f>COUNTIF(Мероприятия_план!$AE$20:$AE$23,AA4)</f>
        <v>0</v>
      </c>
      <c r="AB16" s="1213">
        <f>COUNTIF(Мероприятия_план!$AE$20:$AE$23,AB4)</f>
        <v>0</v>
      </c>
      <c r="AC16" s="1213">
        <f>COUNTIF(Мероприятия_план!$AE$20:$AE$23,AC4)</f>
        <v>0</v>
      </c>
      <c r="AD16" s="1213">
        <f>COUNTIF(Мероприятия_план!$AE$20:$AE$23,AD4)</f>
        <v>0</v>
      </c>
      <c r="AE16" s="1213"/>
      <c r="AF16" s="1213"/>
      <c r="AG16" s="1213"/>
      <c r="AH16" s="1214">
        <f t="shared" si="2"/>
        <v>0</v>
      </c>
      <c r="AI16" s="1208"/>
      <c r="AJ16" s="1215"/>
      <c r="AK16" s="1215"/>
      <c r="AL16" s="1199"/>
      <c r="AM16" s="1199"/>
      <c r="AN16" s="1199"/>
      <c r="AO16" s="1199"/>
      <c r="AP16" s="1199"/>
      <c r="AQ16" s="1199"/>
      <c r="AR16" s="1199"/>
      <c r="AS16" s="1199"/>
      <c r="AT16" s="1199"/>
      <c r="AU16" s="1199"/>
      <c r="AV16" s="1199"/>
      <c r="AW16" s="1199"/>
      <c r="AX16" s="1199"/>
      <c r="AY16" s="1199"/>
      <c r="AZ16" s="1199"/>
      <c r="BA16" s="1199"/>
      <c r="BB16" s="1199"/>
      <c r="BC16" s="1199"/>
      <c r="BD16" s="1199"/>
      <c r="BE16" s="1199"/>
      <c r="BF16" s="1199"/>
      <c r="BG16" s="1199"/>
      <c r="BH16" s="1199"/>
      <c r="BI16" s="1199"/>
      <c r="BJ16" s="1199"/>
      <c r="BK16" s="1199"/>
      <c r="BL16" s="1199"/>
      <c r="BM16" s="1199"/>
      <c r="BN16" s="1199"/>
      <c r="BO16" s="1199"/>
    </row>
    <row r="17" spans="1:67" s="1200" customFormat="1" ht="15.75">
      <c r="A17" s="2135"/>
      <c r="B17" s="1212" t="s">
        <v>142</v>
      </c>
      <c r="C17" s="1216">
        <f>SUMIF(Мероприятия_план!$AE$20:$AE$23,C4,Мероприятия_план!$M$20:$M$23)</f>
        <v>0</v>
      </c>
      <c r="D17" s="1216">
        <f>SUMIF(Мероприятия_план!$AE$20:$AE$23,D4,Мероприятия_план!$M$20:$M$23)</f>
        <v>0</v>
      </c>
      <c r="E17" s="1216">
        <f>SUMIF(Мероприятия_план!$AE$20:$AE$23,E4,Мероприятия_план!$M$20:$M$23)</f>
        <v>0</v>
      </c>
      <c r="F17" s="1216">
        <f>SUMIF(Мероприятия_план!$AE$20:$AE$23,F4,Мероприятия_план!$M$20:$M$23)</f>
        <v>0</v>
      </c>
      <c r="G17" s="1216">
        <f>SUMIF(Мероприятия_план!$AE$20:$AE$23,G4,Мероприятия_план!$M$20:$M$23)</f>
        <v>0</v>
      </c>
      <c r="H17" s="1216">
        <f>SUMIF(Мероприятия_план!$AE$20:$AE$23,H4,Мероприятия_план!$M$20:$M$23)</f>
        <v>0</v>
      </c>
      <c r="I17" s="1216">
        <f>SUMIF(Мероприятия_план!$AE$20:$AE$23,I4,Мероприятия_план!$M$20:$M$23)</f>
        <v>0</v>
      </c>
      <c r="J17" s="1216">
        <f>SUMIF(Мероприятия_план!$AE$20:$AE$23,J4,Мероприятия_план!$M$20:$M$23)</f>
        <v>0</v>
      </c>
      <c r="K17" s="1216">
        <f>SUMIF(Мероприятия_план!$AE$20:$AE$23,K4,Мероприятия_план!$M$20:$M$23)</f>
        <v>0</v>
      </c>
      <c r="L17" s="1216">
        <f>SUMIF(Мероприятия_план!$AE$20:$AE$23,L4,Мероприятия_план!$M$20:$M$23)</f>
        <v>0</v>
      </c>
      <c r="M17" s="1216">
        <f>SUMIF(Мероприятия_план!$AE$20:$AE$23,M4,Мероприятия_план!$M$20:$M$23)</f>
        <v>0</v>
      </c>
      <c r="N17" s="1216">
        <f>SUMIF(Мероприятия_план!$AE$20:$AE$23,N4,Мероприятия_план!$M$20:$M$23)</f>
        <v>0</v>
      </c>
      <c r="O17" s="1216">
        <f>SUMIF(Мероприятия_план!$AE$20:$AE$23,O4,Мероприятия_план!$M$20:$M$23)</f>
        <v>0</v>
      </c>
      <c r="P17" s="1216">
        <f>SUMIF(Мероприятия_план!$AE$20:$AE$23,P4,Мероприятия_план!$M$20:$M$23)</f>
        <v>0</v>
      </c>
      <c r="Q17" s="1216">
        <f>SUMIF(Мероприятия_план!$AE$20:$AE$23,Q4,Мероприятия_план!$M$20:$M$23)</f>
        <v>0</v>
      </c>
      <c r="R17" s="1216">
        <f>SUMIF(Мероприятия_план!$AE$20:$AE$23,R4,Мероприятия_план!$M$20:$M$23)</f>
        <v>0</v>
      </c>
      <c r="S17" s="1216">
        <f>SUMIF(Мероприятия_план!$AE$20:$AE$23,S4,Мероприятия_план!$M$20:$M$23)</f>
        <v>0</v>
      </c>
      <c r="T17" s="1216">
        <f>SUMIF(Мероприятия_план!$AE$20:$AE$23,T4,Мероприятия_план!$M$20:$M$23)</f>
        <v>0</v>
      </c>
      <c r="U17" s="1216">
        <f>SUMIF(Мероприятия_план!$AE$20:$AE$23,U4,Мероприятия_план!$M$20:$M$23)</f>
        <v>0</v>
      </c>
      <c r="V17" s="1216">
        <f>SUMIF(Мероприятия_план!$AE$20:$AE$23,V4,Мероприятия_план!$M$20:$M$23)</f>
        <v>0</v>
      </c>
      <c r="W17" s="1216">
        <f>SUMIF(Мероприятия_план!$AE$20:$AE$23,W4,Мероприятия_план!$M$20:$M$23)</f>
        <v>0</v>
      </c>
      <c r="X17" s="1216">
        <f>SUMIF(Мероприятия_план!$AE$20:$AE$23,X4,Мероприятия_план!$M$20:$M$23)</f>
        <v>0</v>
      </c>
      <c r="Y17" s="1216">
        <f>SUMIF(Мероприятия_план!$AE$20:$AE$23,Y4,Мероприятия_план!$M$20:$M$23)</f>
        <v>0</v>
      </c>
      <c r="Z17" s="1216">
        <f>SUMIF(Мероприятия_план!$AE$20:$AE$23,Z4,Мероприятия_план!$M$20:$M$23)</f>
        <v>0</v>
      </c>
      <c r="AA17" s="1216">
        <f>SUMIF(Мероприятия_план!$AE$20:$AE$23,AA4,Мероприятия_план!$M$20:$M$23)</f>
        <v>0</v>
      </c>
      <c r="AB17" s="1216">
        <f>SUMIF(Мероприятия_план!$AE$20:$AE$23,AB4,Мероприятия_план!$M$20:$M$23)</f>
        <v>0</v>
      </c>
      <c r="AC17" s="1216">
        <f>SUMIF(Мероприятия_план!$AE$20:$AE$23,AC4,Мероприятия_план!$M$20:$M$23)</f>
        <v>0</v>
      </c>
      <c r="AD17" s="1216">
        <f>SUMIF(Мероприятия_план!$AE$20:$AE$23,AD4,Мероприятия_план!$M$20:$M$23)</f>
        <v>0</v>
      </c>
      <c r="AE17" s="1216"/>
      <c r="AF17" s="1216"/>
      <c r="AG17" s="1216"/>
      <c r="AH17" s="1214">
        <f t="shared" si="2"/>
        <v>0</v>
      </c>
      <c r="AI17" s="1208"/>
      <c r="AJ17" s="1215"/>
      <c r="AK17" s="1215"/>
      <c r="AL17" s="1199"/>
      <c r="AM17" s="1199"/>
      <c r="AN17" s="1199"/>
      <c r="AO17" s="1199"/>
      <c r="AP17" s="1199"/>
      <c r="AQ17" s="1199"/>
      <c r="AR17" s="1199"/>
      <c r="AS17" s="1199"/>
      <c r="AT17" s="1199"/>
      <c r="AU17" s="1199"/>
      <c r="AV17" s="1199"/>
      <c r="AW17" s="1199"/>
      <c r="AX17" s="1199"/>
      <c r="AY17" s="1199"/>
      <c r="AZ17" s="1199"/>
      <c r="BA17" s="1199"/>
      <c r="BB17" s="1199"/>
      <c r="BC17" s="1199"/>
      <c r="BD17" s="1199"/>
      <c r="BE17" s="1199"/>
      <c r="BF17" s="1199"/>
      <c r="BG17" s="1199"/>
      <c r="BH17" s="1199"/>
      <c r="BI17" s="1199"/>
      <c r="BJ17" s="1199"/>
      <c r="BK17" s="1199"/>
      <c r="BL17" s="1199"/>
      <c r="BM17" s="1199"/>
      <c r="BN17" s="1199"/>
      <c r="BO17" s="1199"/>
    </row>
    <row r="18" spans="1:67" s="1200" customFormat="1" ht="15.75">
      <c r="A18" s="2135" t="s">
        <v>284</v>
      </c>
      <c r="B18" s="1212" t="s">
        <v>166</v>
      </c>
      <c r="C18" s="1213">
        <f>COUNTIF(Мероприятия_план!$AE$33:$AE$44,C4)</f>
        <v>0</v>
      </c>
      <c r="D18" s="1213">
        <f>COUNTIF(Мероприятия_план!$AE$33:$AE$44,D4)</f>
        <v>0</v>
      </c>
      <c r="E18" s="1213">
        <f>COUNTIF(Мероприятия_план!$AE$33:$AE$44,E4)</f>
        <v>0</v>
      </c>
      <c r="F18" s="1213">
        <f>COUNTIF(Мероприятия_план!$AE$33:$AE$44,F4)</f>
        <v>0</v>
      </c>
      <c r="G18" s="1213">
        <f>COUNTIF(Мероприятия_план!$AE$33:$AE$44,G4)</f>
        <v>0</v>
      </c>
      <c r="H18" s="1213">
        <f>COUNTIF(Мероприятия_план!$AE$33:$AE$44,H4)</f>
        <v>0</v>
      </c>
      <c r="I18" s="1213">
        <f>COUNTIF(Мероприятия_план!$AE$33:$AE$44,I4)</f>
        <v>0</v>
      </c>
      <c r="J18" s="1213">
        <f>COUNTIF(Мероприятия_план!$AE$33:$AE$44,J4)</f>
        <v>0</v>
      </c>
      <c r="K18" s="1213">
        <f>COUNTIF(Мероприятия_план!$AE$33:$AE$44,K4)</f>
        <v>0</v>
      </c>
      <c r="L18" s="1213">
        <f>COUNTIF(Мероприятия_план!$AE$33:$AE$44,L4)</f>
        <v>0</v>
      </c>
      <c r="M18" s="1213">
        <f>COUNTIF(Мероприятия_план!$AE$33:$AE$44,M4)</f>
        <v>0</v>
      </c>
      <c r="N18" s="1213">
        <f>COUNTIF(Мероприятия_план!$AE$33:$AE$44,N4)</f>
        <v>0</v>
      </c>
      <c r="O18" s="1213">
        <f>COUNTIF(Мероприятия_план!$AE$33:$AE$44,O4)</f>
        <v>0</v>
      </c>
      <c r="P18" s="1213">
        <f>COUNTIF(Мероприятия_план!$AE$33:$AE$44,P4)</f>
        <v>0</v>
      </c>
      <c r="Q18" s="1213">
        <f>COUNTIF(Мероприятия_план!$AE$33:$AE$44,Q4)</f>
        <v>0</v>
      </c>
      <c r="R18" s="1213">
        <f>COUNTIF(Мероприятия_план!$AE$33:$AE$44,R4)</f>
        <v>0</v>
      </c>
      <c r="S18" s="1213">
        <f>COUNTIF(Мероприятия_план!$AE$33:$AE$44,S4)</f>
        <v>0</v>
      </c>
      <c r="T18" s="1213">
        <f>COUNTIF(Мероприятия_план!$AE$33:$AE$44,T4)</f>
        <v>0</v>
      </c>
      <c r="U18" s="1213">
        <f>COUNTIF(Мероприятия_план!$AE$33:$AE$44,U4)</f>
        <v>0</v>
      </c>
      <c r="V18" s="1213">
        <f>COUNTIF(Мероприятия_план!$AE$33:$AE$44,V4)</f>
        <v>0</v>
      </c>
      <c r="W18" s="1213">
        <f>COUNTIF(Мероприятия_план!$AE$33:$AE$44,W4)</f>
        <v>0</v>
      </c>
      <c r="X18" s="1213">
        <f>COUNTIF(Мероприятия_план!$AE$33:$AE$44,X4)</f>
        <v>0</v>
      </c>
      <c r="Y18" s="1213">
        <f>COUNTIF(Мероприятия_план!$AE$33:$AE$44,Y4)</f>
        <v>0</v>
      </c>
      <c r="Z18" s="1213">
        <f>COUNTIF(Мероприятия_план!$AE$33:$AE$44,Z4)</f>
        <v>0</v>
      </c>
      <c r="AA18" s="1213">
        <f>COUNTIF(Мероприятия_план!$AE$33:$AE$44,AA4)</f>
        <v>0</v>
      </c>
      <c r="AB18" s="1213">
        <f>COUNTIF(Мероприятия_план!$AE$33:$AE$44,AB4)</f>
        <v>0</v>
      </c>
      <c r="AC18" s="1213">
        <f>COUNTIF(Мероприятия_план!$AE$33:$AE$44,AC4)</f>
        <v>0</v>
      </c>
      <c r="AD18" s="1213">
        <f>COUNTIF(Мероприятия_план!$AE$33:$AE$44,AD4)</f>
        <v>0</v>
      </c>
      <c r="AE18" s="1213"/>
      <c r="AF18" s="1213"/>
      <c r="AG18" s="1213"/>
      <c r="AH18" s="1214">
        <f>SUM(C18:AG18)</f>
        <v>0</v>
      </c>
      <c r="AI18" s="1208"/>
      <c r="AJ18" s="1215"/>
      <c r="AK18" s="1215"/>
      <c r="AL18" s="1199"/>
      <c r="AM18" s="1199"/>
      <c r="AN18" s="1199"/>
      <c r="AO18" s="1199"/>
      <c r="AP18" s="1199"/>
      <c r="AQ18" s="1199"/>
      <c r="AR18" s="1199"/>
      <c r="AS18" s="1199"/>
      <c r="AT18" s="1199"/>
      <c r="AU18" s="1199"/>
      <c r="AV18" s="1199"/>
      <c r="AW18" s="1199"/>
      <c r="AX18" s="1199"/>
      <c r="AY18" s="1199"/>
      <c r="AZ18" s="1199"/>
      <c r="BA18" s="1199"/>
      <c r="BB18" s="1199"/>
      <c r="BC18" s="1199"/>
      <c r="BD18" s="1199"/>
      <c r="BE18" s="1199"/>
      <c r="BF18" s="1199"/>
      <c r="BG18" s="1199"/>
      <c r="BH18" s="1199"/>
      <c r="BI18" s="1199"/>
      <c r="BJ18" s="1199"/>
      <c r="BK18" s="1199"/>
      <c r="BL18" s="1199"/>
      <c r="BM18" s="1199"/>
      <c r="BN18" s="1199"/>
      <c r="BO18" s="1199"/>
    </row>
    <row r="19" spans="1:67" s="1200" customFormat="1" ht="15.75">
      <c r="A19" s="2135"/>
      <c r="B19" s="1212" t="s">
        <v>142</v>
      </c>
      <c r="C19" s="1216">
        <f>SUMIF(Мероприятия_план!$AE$33:$AE$44,C4,Мероприятия_план!$M$33:$M$44)</f>
        <v>0</v>
      </c>
      <c r="D19" s="1216">
        <f>SUMIF(Мероприятия_план!$AE$33:$AE$44,D4,Мероприятия_план!$M$33:$M$44)</f>
        <v>0</v>
      </c>
      <c r="E19" s="1216">
        <f>SUMIF(Мероприятия_план!$AE$33:$AE$44,E4,Мероприятия_план!$M$33:$M$44)</f>
        <v>0</v>
      </c>
      <c r="F19" s="1216">
        <f>SUMIF(Мероприятия_план!$AE$33:$AE$44,F4,Мероприятия_план!$M$33:$M$44)</f>
        <v>0</v>
      </c>
      <c r="G19" s="1216">
        <f>SUMIF(Мероприятия_план!$AE$33:$AE$44,G4,Мероприятия_план!$M$33:$M$44)</f>
        <v>0</v>
      </c>
      <c r="H19" s="1216">
        <f>SUMIF(Мероприятия_план!$AE$33:$AE$44,H4,Мероприятия_план!$M$33:$M$44)</f>
        <v>0</v>
      </c>
      <c r="I19" s="1216">
        <f>SUMIF(Мероприятия_план!$AE$33:$AE$44,I4,Мероприятия_план!$M$33:$M$44)</f>
        <v>0</v>
      </c>
      <c r="J19" s="1216">
        <f>SUMIF(Мероприятия_план!$AE$33:$AE$44,J4,Мероприятия_план!$M$33:$M$44)</f>
        <v>0</v>
      </c>
      <c r="K19" s="1216">
        <f>SUMIF(Мероприятия_план!$AE$33:$AE$44,K4,Мероприятия_план!$M$33:$M$44)</f>
        <v>0</v>
      </c>
      <c r="L19" s="1216">
        <f>SUMIF(Мероприятия_план!$AE$33:$AE$44,L4,Мероприятия_план!$M$33:$M$44)</f>
        <v>0</v>
      </c>
      <c r="M19" s="1216">
        <f>SUMIF(Мероприятия_план!$AE$33:$AE$44,M4,Мероприятия_план!$M$33:$M$44)</f>
        <v>0</v>
      </c>
      <c r="N19" s="1216">
        <f>SUMIF(Мероприятия_план!$AE$33:$AE$44,N4,Мероприятия_план!$M$33:$M$44)</f>
        <v>0</v>
      </c>
      <c r="O19" s="1216">
        <f>SUMIF(Мероприятия_план!$AE$33:$AE$44,O4,Мероприятия_план!$M$33:$M$44)</f>
        <v>0</v>
      </c>
      <c r="P19" s="1216">
        <f>SUMIF(Мероприятия_план!$AE$33:$AE$44,P4,Мероприятия_план!$M$33:$M$44)</f>
        <v>0</v>
      </c>
      <c r="Q19" s="1216">
        <f>SUMIF(Мероприятия_план!$AE$33:$AE$44,Q4,Мероприятия_план!$M$33:$M$44)</f>
        <v>0</v>
      </c>
      <c r="R19" s="1216">
        <f>SUMIF(Мероприятия_план!$AE$33:$AE$44,R4,Мероприятия_план!$M$33:$M$44)</f>
        <v>0</v>
      </c>
      <c r="S19" s="1216">
        <f>SUMIF(Мероприятия_план!$AE$33:$AE$44,S4,Мероприятия_план!$M$33:$M$44)</f>
        <v>0</v>
      </c>
      <c r="T19" s="1216">
        <f>SUMIF(Мероприятия_план!$AE$33:$AE$44,T4,Мероприятия_план!$M$33:$M$44)</f>
        <v>0</v>
      </c>
      <c r="U19" s="1216">
        <f>SUMIF(Мероприятия_план!$AE$33:$AE$44,U4,Мероприятия_план!$M$33:$M$44)</f>
        <v>0</v>
      </c>
      <c r="V19" s="1216">
        <f>SUMIF(Мероприятия_план!$AE$33:$AE$44,V4,Мероприятия_план!$M$33:$M$44)</f>
        <v>0</v>
      </c>
      <c r="W19" s="1216">
        <f>SUMIF(Мероприятия_план!$AE$33:$AE$44,W4,Мероприятия_план!$M$33:$M$44)</f>
        <v>0</v>
      </c>
      <c r="X19" s="1216">
        <f>SUMIF(Мероприятия_план!$AE$33:$AE$44,X4,Мероприятия_план!$M$33:$M$44)</f>
        <v>0</v>
      </c>
      <c r="Y19" s="1216">
        <f>SUMIF(Мероприятия_план!$AE$33:$AE$44,Y4,Мероприятия_план!$M$33:$M$44)</f>
        <v>0</v>
      </c>
      <c r="Z19" s="1216">
        <f>SUMIF(Мероприятия_план!$AE$33:$AE$44,Z4,Мероприятия_план!$M$33:$M$44)</f>
        <v>0</v>
      </c>
      <c r="AA19" s="1216">
        <f>SUMIF(Мероприятия_план!$AE$33:$AE$44,AA4,Мероприятия_план!$M$33:$M$44)</f>
        <v>0</v>
      </c>
      <c r="AB19" s="1216">
        <f>SUMIF(Мероприятия_план!$AE$33:$AE$44,AB4,Мероприятия_план!$M$33:$M$44)</f>
        <v>0</v>
      </c>
      <c r="AC19" s="1216">
        <f>SUMIF(Мероприятия_план!$AE$33:$AE$44,AC4,Мероприятия_план!$M$33:$M$44)</f>
        <v>0</v>
      </c>
      <c r="AD19" s="1216">
        <f>SUMIF(Мероприятия_план!$AE$33:$AE$44,AD4,Мероприятия_план!$M$33:$M$44)</f>
        <v>0</v>
      </c>
      <c r="AE19" s="1216"/>
      <c r="AF19" s="1216"/>
      <c r="AG19" s="1216"/>
      <c r="AH19" s="1214">
        <f t="shared" si="2"/>
        <v>0</v>
      </c>
      <c r="AI19" s="1208"/>
      <c r="AJ19" s="1215"/>
      <c r="AK19" s="1215"/>
      <c r="AL19" s="1199"/>
      <c r="AM19" s="1199"/>
      <c r="AN19" s="1199"/>
      <c r="AO19" s="1199"/>
      <c r="AP19" s="1199"/>
      <c r="AQ19" s="1199"/>
      <c r="AR19" s="1199"/>
      <c r="AS19" s="1199"/>
      <c r="AT19" s="1199"/>
      <c r="AU19" s="1199"/>
      <c r="AV19" s="1199"/>
      <c r="AW19" s="1199"/>
      <c r="AX19" s="1199"/>
      <c r="AY19" s="1199"/>
      <c r="AZ19" s="1199"/>
      <c r="BA19" s="1199"/>
      <c r="BB19" s="1199"/>
      <c r="BC19" s="1199"/>
      <c r="BD19" s="1199"/>
      <c r="BE19" s="1199"/>
      <c r="BF19" s="1199"/>
      <c r="BG19" s="1199"/>
      <c r="BH19" s="1199"/>
      <c r="BI19" s="1199"/>
      <c r="BJ19" s="1199"/>
      <c r="BK19" s="1199"/>
      <c r="BL19" s="1199"/>
      <c r="BM19" s="1199"/>
      <c r="BN19" s="1199"/>
      <c r="BO19" s="1199"/>
    </row>
    <row r="20" spans="1:67" s="1200" customFormat="1" ht="15.75">
      <c r="A20" s="2135" t="s">
        <v>286</v>
      </c>
      <c r="B20" s="1212" t="s">
        <v>166</v>
      </c>
      <c r="C20" s="1213">
        <f>COUNTIF(Мероприятия_план!$AE$91:$AE$92,C4)</f>
        <v>0</v>
      </c>
      <c r="D20" s="1213">
        <f>COUNTIF(Мероприятия_план!$AE$91:$AE$92,D4)</f>
        <v>0</v>
      </c>
      <c r="E20" s="1213">
        <f>COUNTIF(Мероприятия_план!$AE$91:$AE$92,E4)</f>
        <v>0</v>
      </c>
      <c r="F20" s="1213">
        <f>COUNTIF(Мероприятия_план!$AE$91:$AE$92,F4)</f>
        <v>0</v>
      </c>
      <c r="G20" s="1213">
        <f>COUNTIF(Мероприятия_план!$AE$91:$AE$92,G4)</f>
        <v>0</v>
      </c>
      <c r="H20" s="1213">
        <f>COUNTIF(Мероприятия_план!$AE$91:$AE$92,H4)</f>
        <v>0</v>
      </c>
      <c r="I20" s="1213">
        <f>COUNTIF(Мероприятия_план!$AE$91:$AE$92,I4)</f>
        <v>0</v>
      </c>
      <c r="J20" s="1213">
        <f>COUNTIF(Мероприятия_план!$AE$91:$AE$92,J4)</f>
        <v>0</v>
      </c>
      <c r="K20" s="1213">
        <f>COUNTIF(Мероприятия_план!$AE$91:$AE$92,K4)</f>
        <v>0</v>
      </c>
      <c r="L20" s="1213">
        <f>COUNTIF(Мероприятия_план!$AE$91:$AE$92,L4)</f>
        <v>0</v>
      </c>
      <c r="M20" s="1213">
        <f>COUNTIF(Мероприятия_план!$AE$91:$AE$92,M4)</f>
        <v>0</v>
      </c>
      <c r="N20" s="1213">
        <f>COUNTIF(Мероприятия_план!$AE$91:$AE$92,N4)</f>
        <v>0</v>
      </c>
      <c r="O20" s="1213">
        <f>COUNTIF(Мероприятия_план!$AE$91:$AE$92,O4)</f>
        <v>0</v>
      </c>
      <c r="P20" s="1213">
        <f>COUNTIF(Мероприятия_план!$AE$91:$AE$92,P4)</f>
        <v>0</v>
      </c>
      <c r="Q20" s="1213">
        <f>COUNTIF(Мероприятия_план!$AE$91:$AE$92,Q4)</f>
        <v>0</v>
      </c>
      <c r="R20" s="1213">
        <f>COUNTIF(Мероприятия_план!$AE$91:$AE$92,R4)</f>
        <v>0</v>
      </c>
      <c r="S20" s="1213">
        <f>COUNTIF(Мероприятия_план!$AE$91:$AE$92,S4)</f>
        <v>0</v>
      </c>
      <c r="T20" s="1213">
        <f>COUNTIF(Мероприятия_план!$AE$91:$AE$92,T4)</f>
        <v>0</v>
      </c>
      <c r="U20" s="1213">
        <f>COUNTIF(Мероприятия_план!$AE$91:$AE$92,U4)</f>
        <v>0</v>
      </c>
      <c r="V20" s="1213">
        <f>COUNTIF(Мероприятия_план!$AE$91:$AE$92,V4)</f>
        <v>0</v>
      </c>
      <c r="W20" s="1213">
        <f>COUNTIF(Мероприятия_план!$AE$91:$AE$92,W4)</f>
        <v>0</v>
      </c>
      <c r="X20" s="1213">
        <f>COUNTIF(Мероприятия_план!$AE$91:$AE$92,X4)</f>
        <v>0</v>
      </c>
      <c r="Y20" s="1213">
        <f>COUNTIF(Мероприятия_план!$AE$91:$AE$92,Y4)</f>
        <v>0</v>
      </c>
      <c r="Z20" s="1213">
        <f>COUNTIF(Мероприятия_план!$AE$91:$AE$92,Z4)</f>
        <v>0</v>
      </c>
      <c r="AA20" s="1213">
        <f>COUNTIF(Мероприятия_план!$AE$91:$AE$92,AA4)</f>
        <v>0</v>
      </c>
      <c r="AB20" s="1213">
        <f>COUNTIF(Мероприятия_план!$AE$91:$AE$92,AB4)</f>
        <v>0</v>
      </c>
      <c r="AC20" s="1213">
        <f>COUNTIF(Мероприятия_план!$AE$91:$AE$92,AC4)</f>
        <v>0</v>
      </c>
      <c r="AD20" s="1213">
        <f>COUNTIF(Мероприятия_план!$AE$91:$AE$92,AD4)</f>
        <v>0</v>
      </c>
      <c r="AE20" s="1213"/>
      <c r="AF20" s="1213"/>
      <c r="AG20" s="1213"/>
      <c r="AH20" s="1214">
        <f t="shared" si="2"/>
        <v>0</v>
      </c>
      <c r="AI20" s="1208"/>
      <c r="AJ20" s="1215"/>
      <c r="AK20" s="1215"/>
      <c r="AL20" s="1199"/>
      <c r="AM20" s="1199"/>
      <c r="AN20" s="1199"/>
      <c r="AO20" s="1199"/>
      <c r="AP20" s="1199"/>
      <c r="AQ20" s="1199"/>
      <c r="AR20" s="1199"/>
      <c r="AS20" s="1199"/>
      <c r="AT20" s="1199"/>
      <c r="AU20" s="1199"/>
      <c r="AV20" s="1199"/>
      <c r="AW20" s="1199"/>
      <c r="AX20" s="1199"/>
      <c r="AY20" s="1199"/>
      <c r="AZ20" s="1199"/>
      <c r="BA20" s="1199"/>
      <c r="BB20" s="1199"/>
      <c r="BC20" s="1199"/>
      <c r="BD20" s="1199"/>
      <c r="BE20" s="1199"/>
      <c r="BF20" s="1199"/>
      <c r="BG20" s="1199"/>
      <c r="BH20" s="1199"/>
      <c r="BI20" s="1199"/>
      <c r="BJ20" s="1199"/>
      <c r="BK20" s="1199"/>
      <c r="BL20" s="1199"/>
      <c r="BM20" s="1199"/>
      <c r="BN20" s="1199"/>
      <c r="BO20" s="1199"/>
    </row>
    <row r="21" spans="1:67" s="1200" customFormat="1" ht="15.75">
      <c r="A21" s="2135"/>
      <c r="B21" s="1212" t="s">
        <v>142</v>
      </c>
      <c r="C21" s="1216">
        <f>SUMIF(Мероприятия_план!$AE$91:$AE$92,C4,Мероприятия_план!$M$91:$M$92)</f>
        <v>0</v>
      </c>
      <c r="D21" s="1216">
        <f>SUMIF(Мероприятия_план!$AE$91:$AE$92,D4,Мероприятия_план!$M$91:$M$92)</f>
        <v>0</v>
      </c>
      <c r="E21" s="1216">
        <f>SUMIF(Мероприятия_план!$AE$91:$AE$92,E4,Мероприятия_план!$M$91:$M$92)</f>
        <v>0</v>
      </c>
      <c r="F21" s="1216">
        <f>SUMIF(Мероприятия_план!$AE$91:$AE$92,F4,Мероприятия_план!$M$91:$M$92)</f>
        <v>0</v>
      </c>
      <c r="G21" s="1216">
        <f>SUMIF(Мероприятия_план!$AE$91:$AE$92,G4,Мероприятия_план!$M$91:$M$92)</f>
        <v>0</v>
      </c>
      <c r="H21" s="1216">
        <f>SUMIF(Мероприятия_план!$AE$91:$AE$92,H4,Мероприятия_план!$M$91:$M$92)</f>
        <v>0</v>
      </c>
      <c r="I21" s="1216">
        <f>SUMIF(Мероприятия_план!$AE$91:$AE$92,I4,Мероприятия_план!$M$91:$M$92)</f>
        <v>0</v>
      </c>
      <c r="J21" s="1216">
        <f>SUMIF(Мероприятия_план!$AE$91:$AE$92,J4,Мероприятия_план!$M$91:$M$92)</f>
        <v>0</v>
      </c>
      <c r="K21" s="1216">
        <f>SUMIF(Мероприятия_план!$AE$91:$AE$92,K4,Мероприятия_план!$M$91:$M$92)</f>
        <v>0</v>
      </c>
      <c r="L21" s="1216">
        <f>SUMIF(Мероприятия_план!$AE$91:$AE$92,L4,Мероприятия_план!$M$91:$M$92)</f>
        <v>0</v>
      </c>
      <c r="M21" s="1216">
        <f>SUMIF(Мероприятия_план!$AE$91:$AE$92,M4,Мероприятия_план!$M$91:$M$92)</f>
        <v>0</v>
      </c>
      <c r="N21" s="1216">
        <f>SUMIF(Мероприятия_план!$AE$91:$AE$92,N4,Мероприятия_план!$M$91:$M$92)</f>
        <v>0</v>
      </c>
      <c r="O21" s="1216">
        <f>SUMIF(Мероприятия_план!$AE$91:$AE$92,O4,Мероприятия_план!$M$91:$M$92)</f>
        <v>0</v>
      </c>
      <c r="P21" s="1216">
        <f>SUMIF(Мероприятия_план!$AE$91:$AE$92,P4,Мероприятия_план!$M$91:$M$92)</f>
        <v>0</v>
      </c>
      <c r="Q21" s="1216">
        <f>SUMIF(Мероприятия_план!$AE$91:$AE$92,Q4,Мероприятия_план!$M$91:$M$92)</f>
        <v>0</v>
      </c>
      <c r="R21" s="1216">
        <f>SUMIF(Мероприятия_план!$AE$91:$AE$92,R4,Мероприятия_план!$M$91:$M$92)</f>
        <v>0</v>
      </c>
      <c r="S21" s="1216">
        <f>SUMIF(Мероприятия_план!$AE$91:$AE$92,S4,Мероприятия_план!$M$91:$M$92)</f>
        <v>0</v>
      </c>
      <c r="T21" s="1216">
        <f>SUMIF(Мероприятия_план!$AE$91:$AE$92,T4,Мероприятия_план!$M$91:$M$92)</f>
        <v>0</v>
      </c>
      <c r="U21" s="1216">
        <f>SUMIF(Мероприятия_план!$AE$91:$AE$92,U4,Мероприятия_план!$M$91:$M$92)</f>
        <v>0</v>
      </c>
      <c r="V21" s="1216">
        <f>SUMIF(Мероприятия_план!$AE$91:$AE$92,V4,Мероприятия_план!$M$91:$M$92)</f>
        <v>0</v>
      </c>
      <c r="W21" s="1216">
        <f>SUMIF(Мероприятия_план!$AE$91:$AE$92,W4,Мероприятия_план!$M$91:$M$92)</f>
        <v>0</v>
      </c>
      <c r="X21" s="1216">
        <f>SUMIF(Мероприятия_план!$AE$91:$AE$92,X4,Мероприятия_план!$M$91:$M$92)</f>
        <v>0</v>
      </c>
      <c r="Y21" s="1216">
        <f>SUMIF(Мероприятия_план!$AE$91:$AE$92,Y4,Мероприятия_план!$M$91:$M$92)</f>
        <v>0</v>
      </c>
      <c r="Z21" s="1216">
        <f>SUMIF(Мероприятия_план!$AE$91:$AE$92,Z4,Мероприятия_план!$M$91:$M$92)</f>
        <v>0</v>
      </c>
      <c r="AA21" s="1216">
        <f>SUMIF(Мероприятия_план!$AE$91:$AE$92,AA4,Мероприятия_план!$M$91:$M$92)</f>
        <v>0</v>
      </c>
      <c r="AB21" s="1216">
        <f>SUMIF(Мероприятия_план!$AE$91:$AE$92,AB4,Мероприятия_план!$M$91:$M$92)</f>
        <v>0</v>
      </c>
      <c r="AC21" s="1216">
        <f>SUMIF(Мероприятия_план!$AE$91:$AE$92,AC4,Мероприятия_план!$M$91:$M$92)</f>
        <v>0</v>
      </c>
      <c r="AD21" s="1216">
        <f>SUMIF(Мероприятия_план!$AE$91:$AE$92,AD4,Мероприятия_план!$M$91:$M$92)</f>
        <v>0</v>
      </c>
      <c r="AE21" s="1216"/>
      <c r="AF21" s="1216"/>
      <c r="AG21" s="1216"/>
      <c r="AH21" s="1214">
        <f t="shared" si="2"/>
        <v>0</v>
      </c>
      <c r="AI21" s="1208"/>
      <c r="AJ21" s="1215"/>
      <c r="AK21" s="1215"/>
      <c r="AL21" s="1199"/>
      <c r="AM21" s="1199"/>
      <c r="AN21" s="1199"/>
      <c r="AO21" s="1199"/>
      <c r="AP21" s="1199"/>
      <c r="AQ21" s="1199"/>
      <c r="AR21" s="1199"/>
      <c r="AS21" s="1199"/>
      <c r="AT21" s="1199"/>
      <c r="AU21" s="1199"/>
      <c r="AV21" s="1199"/>
      <c r="AW21" s="1199"/>
      <c r="AX21" s="1199"/>
      <c r="AY21" s="1199"/>
      <c r="AZ21" s="1199"/>
      <c r="BA21" s="1199"/>
      <c r="BB21" s="1199"/>
      <c r="BC21" s="1199"/>
      <c r="BD21" s="1199"/>
      <c r="BE21" s="1199"/>
      <c r="BF21" s="1199"/>
      <c r="BG21" s="1199"/>
      <c r="BH21" s="1199"/>
      <c r="BI21" s="1199"/>
      <c r="BJ21" s="1199"/>
      <c r="BK21" s="1199"/>
      <c r="BL21" s="1199"/>
      <c r="BM21" s="1199"/>
      <c r="BN21" s="1199"/>
      <c r="BO21" s="1199"/>
    </row>
    <row r="22" spans="1:67" s="1222" customFormat="1" ht="15.75">
      <c r="A22" s="2135" t="s">
        <v>287</v>
      </c>
      <c r="B22" s="1212" t="s">
        <v>166</v>
      </c>
      <c r="C22" s="1213">
        <f>COUNTIF(Мероприятия_план!$AE$132:$AE$133,C4)</f>
        <v>0</v>
      </c>
      <c r="D22" s="1213">
        <f>COUNTIF(Мероприятия_план!$AE$132:$AE$133,D4)</f>
        <v>0</v>
      </c>
      <c r="E22" s="1213">
        <f>COUNTIF(Мероприятия_план!$AE$132:$AE$133,E4)</f>
        <v>0</v>
      </c>
      <c r="F22" s="1213">
        <f>COUNTIF(Мероприятия_план!$AE$132:$AE$133,F4)</f>
        <v>0</v>
      </c>
      <c r="G22" s="1213">
        <f>COUNTIF(Мероприятия_план!$AE$132:$AE$133,G4)</f>
        <v>0</v>
      </c>
      <c r="H22" s="1213">
        <f>COUNTIF(Мероприятия_план!$AE$132:$AE$133,H4)</f>
        <v>0</v>
      </c>
      <c r="I22" s="1213">
        <f>COUNTIF(Мероприятия_план!$AE$132:$AE$133,I4)</f>
        <v>0</v>
      </c>
      <c r="J22" s="1213">
        <f>COUNTIF(Мероприятия_план!$AE$132:$AE$133,J4)</f>
        <v>0</v>
      </c>
      <c r="K22" s="1213">
        <f>COUNTIF(Мероприятия_план!$AE$132:$AE$133,K4)</f>
        <v>0</v>
      </c>
      <c r="L22" s="1213">
        <f>COUNTIF(Мероприятия_план!$AE$132:$AE$133,L4)</f>
        <v>0</v>
      </c>
      <c r="M22" s="1213">
        <f>COUNTIF(Мероприятия_план!$AE$132:$AE$133,M4)</f>
        <v>0</v>
      </c>
      <c r="N22" s="1213">
        <f>COUNTIF(Мероприятия_план!$AE$132:$AE$133,N4)</f>
        <v>0</v>
      </c>
      <c r="O22" s="1213">
        <f>COUNTIF(Мероприятия_план!$AE$132:$AE$133,O4)</f>
        <v>0</v>
      </c>
      <c r="P22" s="1213">
        <f>COUNTIF(Мероприятия_план!$AE$132:$AE$133,P4)</f>
        <v>0</v>
      </c>
      <c r="Q22" s="1213">
        <f>COUNTIF(Мероприятия_план!$AE$132:$AE$133,Q4)</f>
        <v>0</v>
      </c>
      <c r="R22" s="1213">
        <f>COUNTIF(Мероприятия_план!$AE$132:$AE$133,R4)</f>
        <v>0</v>
      </c>
      <c r="S22" s="1213">
        <f>COUNTIF(Мероприятия_план!$AE$132:$AE$133,S4)</f>
        <v>0</v>
      </c>
      <c r="T22" s="1213">
        <f>COUNTIF(Мероприятия_план!$AE$132:$AE$133,T4)</f>
        <v>0</v>
      </c>
      <c r="U22" s="1213">
        <f>COUNTIF(Мероприятия_план!$AE$132:$AE$133,U4)</f>
        <v>0</v>
      </c>
      <c r="V22" s="1213">
        <f>COUNTIF(Мероприятия_план!$AE$132:$AE$133,V4)</f>
        <v>0</v>
      </c>
      <c r="W22" s="1213">
        <f>COUNTIF(Мероприятия_план!$AE$132:$AE$133,W4)</f>
        <v>0</v>
      </c>
      <c r="X22" s="1213">
        <f>COUNTIF(Мероприятия_план!$AE$132:$AE$133,X4)</f>
        <v>0</v>
      </c>
      <c r="Y22" s="1213">
        <f>COUNTIF(Мероприятия_план!$AE$132:$AE$133,Y4)</f>
        <v>0</v>
      </c>
      <c r="Z22" s="1213">
        <f>COUNTIF(Мероприятия_план!$AE$132:$AE$133,Z4)</f>
        <v>0</v>
      </c>
      <c r="AA22" s="1213">
        <f>COUNTIF(Мероприятия_план!$AE$132:$AE$133,AA4)</f>
        <v>0</v>
      </c>
      <c r="AB22" s="1213">
        <f>COUNTIF(Мероприятия_план!$AE$132:$AE$133,AB4)</f>
        <v>0</v>
      </c>
      <c r="AC22" s="1213">
        <f>COUNTIF(Мероприятия_план!$AE$132:$AE$133,AC4)</f>
        <v>0</v>
      </c>
      <c r="AD22" s="1213">
        <f>COUNTIF(Мероприятия_план!$AE$132:$AE$133,AD4)</f>
        <v>0</v>
      </c>
      <c r="AE22" s="1213"/>
      <c r="AF22" s="1213"/>
      <c r="AG22" s="1213"/>
      <c r="AH22" s="1214">
        <f t="shared" si="2"/>
        <v>0</v>
      </c>
      <c r="AI22" s="1208"/>
      <c r="AJ22" s="1215"/>
      <c r="AK22" s="1215"/>
      <c r="AL22" s="1199"/>
      <c r="AM22" s="1199"/>
      <c r="AN22" s="1199"/>
      <c r="AO22" s="1199"/>
      <c r="AP22" s="1199"/>
      <c r="AQ22" s="1199"/>
      <c r="AR22" s="1199"/>
      <c r="AS22" s="1199"/>
      <c r="AT22" s="1199"/>
      <c r="AU22" s="1199"/>
      <c r="AV22" s="1199"/>
      <c r="AW22" s="1199"/>
      <c r="AX22" s="1199"/>
      <c r="AY22" s="1199"/>
      <c r="AZ22" s="1199"/>
      <c r="BA22" s="1199"/>
      <c r="BB22" s="1199"/>
      <c r="BC22" s="1199"/>
      <c r="BD22" s="1199"/>
      <c r="BE22" s="1199"/>
      <c r="BF22" s="1199"/>
      <c r="BG22" s="1199"/>
      <c r="BH22" s="1199"/>
      <c r="BI22" s="1199"/>
      <c r="BJ22" s="1199"/>
      <c r="BK22" s="1199"/>
      <c r="BL22" s="1199"/>
      <c r="BM22" s="1199"/>
      <c r="BN22" s="1199"/>
      <c r="BO22" s="1199"/>
    </row>
    <row r="23" spans="1:67" s="1200" customFormat="1" ht="15.75">
      <c r="A23" s="2135"/>
      <c r="B23" s="1212" t="s">
        <v>142</v>
      </c>
      <c r="C23" s="1216">
        <f>SUMIF(Мероприятия_план!$AE$132:$AE$133,C4,Мероприятия_план!$M$132:$M$133)</f>
        <v>0</v>
      </c>
      <c r="D23" s="1216">
        <f>SUMIF(Мероприятия_план!$AE$132:$AE$133,D4,Мероприятия_план!$M$132:$M$133)</f>
        <v>0</v>
      </c>
      <c r="E23" s="1216">
        <f>SUMIF(Мероприятия_план!$AE$132:$AE$133,E4,Мероприятия_план!$M$132:$M$133)</f>
        <v>0</v>
      </c>
      <c r="F23" s="1216">
        <f>SUMIF(Мероприятия_план!$AE$132:$AE$133,F4,Мероприятия_план!$M$132:$M$133)</f>
        <v>0</v>
      </c>
      <c r="G23" s="1216">
        <f>SUMIF(Мероприятия_план!$AE$132:$AE$133,G4,Мероприятия_план!$M$132:$M$133)</f>
        <v>0</v>
      </c>
      <c r="H23" s="1216">
        <f>SUMIF(Мероприятия_план!$AE$132:$AE$133,H4,Мероприятия_план!$M$132:$M$133)</f>
        <v>0</v>
      </c>
      <c r="I23" s="1216">
        <f>SUMIF(Мероприятия_план!$AE$132:$AE$133,I4,Мероприятия_план!$M$132:$M$133)</f>
        <v>0</v>
      </c>
      <c r="J23" s="1216">
        <f>SUMIF(Мероприятия_план!$AE$132:$AE$133,J4,Мероприятия_план!$M$132:$M$133)</f>
        <v>0</v>
      </c>
      <c r="K23" s="1216">
        <f>SUMIF(Мероприятия_план!$AE$132:$AE$133,K4,Мероприятия_план!$M$132:$M$133)</f>
        <v>0</v>
      </c>
      <c r="L23" s="1216">
        <f>SUMIF(Мероприятия_план!$AE$132:$AE$133,L4,Мероприятия_план!$M$132:$M$133)</f>
        <v>0</v>
      </c>
      <c r="M23" s="1216">
        <f>SUMIF(Мероприятия_план!$AE$132:$AE$133,M4,Мероприятия_план!$M$132:$M$133)</f>
        <v>0</v>
      </c>
      <c r="N23" s="1216">
        <f>SUMIF(Мероприятия_план!$AE$132:$AE$133,N4,Мероприятия_план!$M$132:$M$133)</f>
        <v>0</v>
      </c>
      <c r="O23" s="1216">
        <f>SUMIF(Мероприятия_план!$AE$132:$AE$133,O4,Мероприятия_план!$M$132:$M$133)</f>
        <v>0</v>
      </c>
      <c r="P23" s="1216">
        <f>SUMIF(Мероприятия_план!$AE$132:$AE$133,P4,Мероприятия_план!$M$132:$M$133)</f>
        <v>0</v>
      </c>
      <c r="Q23" s="1216">
        <f>SUMIF(Мероприятия_план!$AE$132:$AE$133,Q4,Мероприятия_план!$M$132:$M$133)</f>
        <v>0</v>
      </c>
      <c r="R23" s="1216">
        <f>SUMIF(Мероприятия_план!$AE$132:$AE$133,R4,Мероприятия_план!$M$132:$M$133)</f>
        <v>0</v>
      </c>
      <c r="S23" s="1216">
        <f>SUMIF(Мероприятия_план!$AE$132:$AE$133,S4,Мероприятия_план!$M$132:$M$133)</f>
        <v>0</v>
      </c>
      <c r="T23" s="1216">
        <f>SUMIF(Мероприятия_план!$AE$132:$AE$133,T4,Мероприятия_план!$M$132:$M$133)</f>
        <v>0</v>
      </c>
      <c r="U23" s="1216">
        <f>SUMIF(Мероприятия_план!$AE$132:$AE$133,U4,Мероприятия_план!$M$132:$M$133)</f>
        <v>0</v>
      </c>
      <c r="V23" s="1216">
        <f>SUMIF(Мероприятия_план!$AE$132:$AE$133,V4,Мероприятия_план!$M$132:$M$133)</f>
        <v>0</v>
      </c>
      <c r="W23" s="1216">
        <f>SUMIF(Мероприятия_план!$AE$132:$AE$133,W4,Мероприятия_план!$M$132:$M$133)</f>
        <v>0</v>
      </c>
      <c r="X23" s="1216">
        <f>SUMIF(Мероприятия_план!$AE$132:$AE$133,X4,Мероприятия_план!$M$132:$M$133)</f>
        <v>0</v>
      </c>
      <c r="Y23" s="1216">
        <f>SUMIF(Мероприятия_план!$AE$132:$AE$133,Y4,Мероприятия_план!$M$132:$M$133)</f>
        <v>0</v>
      </c>
      <c r="Z23" s="1216">
        <f>SUMIF(Мероприятия_план!$AE$132:$AE$133,Z4,Мероприятия_план!$M$132:$M$133)</f>
        <v>0</v>
      </c>
      <c r="AA23" s="1216">
        <f>SUMIF(Мероприятия_план!$AE$132:$AE$133,AA4,Мероприятия_план!$M$132:$M$133)</f>
        <v>0</v>
      </c>
      <c r="AB23" s="1216">
        <f>SUMIF(Мероприятия_план!$AE$132:$AE$133,AB4,Мероприятия_план!$M$132:$M$133)</f>
        <v>0</v>
      </c>
      <c r="AC23" s="1216">
        <f>SUMIF(Мероприятия_план!$AE$132:$AE$133,AC4,Мероприятия_план!$M$132:$M$133)</f>
        <v>0</v>
      </c>
      <c r="AD23" s="1216">
        <f>SUMIF(Мероприятия_план!$AE$132:$AE$133,AD4,Мероприятия_план!$M$132:$M$133)</f>
        <v>0</v>
      </c>
      <c r="AE23" s="1216"/>
      <c r="AF23" s="1216"/>
      <c r="AG23" s="1216"/>
      <c r="AH23" s="1214">
        <f t="shared" si="2"/>
        <v>0</v>
      </c>
      <c r="AI23" s="1208"/>
      <c r="AJ23" s="1215"/>
      <c r="AK23" s="1215"/>
      <c r="AL23" s="1199"/>
      <c r="AM23" s="1199"/>
      <c r="AN23" s="1199"/>
      <c r="AO23" s="1199"/>
      <c r="AP23" s="1199"/>
      <c r="AQ23" s="1199"/>
      <c r="AR23" s="1199"/>
      <c r="AS23" s="1199"/>
      <c r="AT23" s="1199"/>
      <c r="AU23" s="1199"/>
      <c r="AV23" s="1199"/>
      <c r="AW23" s="1199"/>
      <c r="AX23" s="1199"/>
      <c r="AY23" s="1199"/>
      <c r="AZ23" s="1199"/>
      <c r="BA23" s="1199"/>
      <c r="BB23" s="1199"/>
      <c r="BC23" s="1199"/>
      <c r="BD23" s="1199"/>
      <c r="BE23" s="1199"/>
      <c r="BF23" s="1199"/>
      <c r="BG23" s="1199"/>
      <c r="BH23" s="1199"/>
      <c r="BI23" s="1199"/>
      <c r="BJ23" s="1199"/>
      <c r="BK23" s="1199"/>
      <c r="BL23" s="1199"/>
      <c r="BM23" s="1199"/>
      <c r="BN23" s="1199"/>
      <c r="BO23" s="1199"/>
    </row>
    <row r="24" spans="1:67" s="1200" customFormat="1" ht="15.75">
      <c r="A24" s="2135" t="s">
        <v>292</v>
      </c>
      <c r="B24" s="1212" t="s">
        <v>166</v>
      </c>
      <c r="C24" s="1213">
        <f>COUNTIF(Мероприятия_план!$AE$82:$AE$84,C4)</f>
        <v>0</v>
      </c>
      <c r="D24" s="1213">
        <f>COUNTIF(Мероприятия_план!$AE$82:$AE$84,D4)</f>
        <v>0</v>
      </c>
      <c r="E24" s="1213">
        <f>COUNTIF(Мероприятия_план!$AE$82:$AE$84,E4)</f>
        <v>0</v>
      </c>
      <c r="F24" s="1213">
        <f>COUNTIF(Мероприятия_план!$AE$82:$AE$84,F4)</f>
        <v>0</v>
      </c>
      <c r="G24" s="1213">
        <f>COUNTIF(Мероприятия_план!$AE$82:$AE$84,G4)</f>
        <v>0</v>
      </c>
      <c r="H24" s="1213">
        <f>COUNTIF(Мероприятия_план!$AE$82:$AE$84,H4)</f>
        <v>0</v>
      </c>
      <c r="I24" s="1213">
        <f>COUNTIF(Мероприятия_план!$AE$82:$AE$84,I4)</f>
        <v>0</v>
      </c>
      <c r="J24" s="1213">
        <f>COUNTIF(Мероприятия_план!$AE$82:$AE$84,J4)</f>
        <v>0</v>
      </c>
      <c r="K24" s="1213">
        <f>COUNTIF(Мероприятия_план!$AE$82:$AE$84,K4)</f>
        <v>0</v>
      </c>
      <c r="L24" s="1213">
        <f>COUNTIF(Мероприятия_план!$AE$82:$AE$84,L4)</f>
        <v>0</v>
      </c>
      <c r="M24" s="1213">
        <f>COUNTIF(Мероприятия_план!$AE$82:$AE$84,M4)</f>
        <v>0</v>
      </c>
      <c r="N24" s="1213">
        <f>COUNTIF(Мероприятия_план!$AE$82:$AE$84,N4)</f>
        <v>0</v>
      </c>
      <c r="O24" s="1213">
        <f>COUNTIF(Мероприятия_план!$AE$82:$AE$84,O4)</f>
        <v>0</v>
      </c>
      <c r="P24" s="1213">
        <f>COUNTIF(Мероприятия_план!$AE$82:$AE$84,P4)</f>
        <v>0</v>
      </c>
      <c r="Q24" s="1213">
        <f>COUNTIF(Мероприятия_план!$AE$82:$AE$84,Q4)</f>
        <v>0</v>
      </c>
      <c r="R24" s="1213">
        <f>COUNTIF(Мероприятия_план!$AE$82:$AE$84,R4)</f>
        <v>0</v>
      </c>
      <c r="S24" s="1213">
        <f>COUNTIF(Мероприятия_план!$AE$82:$AE$84,S4)</f>
        <v>0</v>
      </c>
      <c r="T24" s="1213">
        <f>COUNTIF(Мероприятия_план!$AE$82:$AE$84,T4)</f>
        <v>0</v>
      </c>
      <c r="U24" s="1213">
        <f>COUNTIF(Мероприятия_план!$AE$82:$AE$84,U4)</f>
        <v>0</v>
      </c>
      <c r="V24" s="1213">
        <f>COUNTIF(Мероприятия_план!$AE$82:$AE$84,V4)</f>
        <v>0</v>
      </c>
      <c r="W24" s="1213">
        <f>COUNTIF(Мероприятия_план!$AE$82:$AE$84,W4)</f>
        <v>0</v>
      </c>
      <c r="X24" s="1213">
        <f>COUNTIF(Мероприятия_план!$AE$82:$AE$84,X4)</f>
        <v>0</v>
      </c>
      <c r="Y24" s="1213">
        <f>COUNTIF(Мероприятия_план!$AE$82:$AE$84,Y4)</f>
        <v>0</v>
      </c>
      <c r="Z24" s="1213">
        <f>COUNTIF(Мероприятия_план!$AE$82:$AE$84,Z4)</f>
        <v>0</v>
      </c>
      <c r="AA24" s="1213">
        <f>COUNTIF(Мероприятия_план!$AE$82:$AE$84,AA4)</f>
        <v>0</v>
      </c>
      <c r="AB24" s="1213">
        <f>COUNTIF(Мероприятия_план!$AE$82:$AE$84,AB4)</f>
        <v>0</v>
      </c>
      <c r="AC24" s="1213">
        <f>COUNTIF(Мероприятия_план!$AE$82:$AE$84,AC4)</f>
        <v>0</v>
      </c>
      <c r="AD24" s="1213">
        <f>COUNTIF(Мероприятия_план!$AE$82:$AE$84,AD4)</f>
        <v>0</v>
      </c>
      <c r="AE24" s="1213"/>
      <c r="AF24" s="1213"/>
      <c r="AG24" s="1213"/>
      <c r="AH24" s="1214">
        <f t="shared" si="2"/>
        <v>0</v>
      </c>
      <c r="AI24" s="1208"/>
      <c r="AJ24" s="1215"/>
      <c r="AK24" s="1215"/>
      <c r="AL24" s="1199"/>
      <c r="AM24" s="1199"/>
      <c r="AN24" s="1199"/>
      <c r="AO24" s="1199"/>
      <c r="AP24" s="1199"/>
      <c r="AQ24" s="1199"/>
      <c r="AR24" s="1199"/>
      <c r="AS24" s="1199"/>
      <c r="AT24" s="1199"/>
      <c r="AU24" s="1199"/>
      <c r="AV24" s="1199"/>
      <c r="AW24" s="1199"/>
      <c r="AX24" s="1199"/>
      <c r="AY24" s="1199"/>
      <c r="AZ24" s="1199"/>
      <c r="BA24" s="1199"/>
      <c r="BB24" s="1199"/>
      <c r="BC24" s="1199"/>
      <c r="BD24" s="1199"/>
      <c r="BE24" s="1199"/>
      <c r="BF24" s="1199"/>
      <c r="BG24" s="1199"/>
      <c r="BH24" s="1199"/>
      <c r="BI24" s="1199"/>
      <c r="BJ24" s="1199"/>
      <c r="BK24" s="1199"/>
      <c r="BL24" s="1199"/>
      <c r="BM24" s="1199"/>
      <c r="BN24" s="1199"/>
      <c r="BO24" s="1199"/>
    </row>
    <row r="25" spans="1:67" s="1200" customFormat="1" ht="15.75">
      <c r="A25" s="2135"/>
      <c r="B25" s="1212" t="s">
        <v>142</v>
      </c>
      <c r="C25" s="1216">
        <f>SUMIF(Мероприятия_план!$AE$82:$AE$84,C4,Мероприятия_план!$M$82:$M$84)</f>
        <v>0</v>
      </c>
      <c r="D25" s="1216">
        <f>SUMIF(Мероприятия_план!$AE$82:$AE$84,D4,Мероприятия_план!$M$82:$M$84)</f>
        <v>0</v>
      </c>
      <c r="E25" s="1216">
        <f>SUMIF(Мероприятия_план!$AE$82:$AE$84,E4,Мероприятия_план!$M$82:$M$84)</f>
        <v>0</v>
      </c>
      <c r="F25" s="1216">
        <f>SUMIF(Мероприятия_план!$AE$82:$AE$84,F4,Мероприятия_план!$M$82:$M$84)</f>
        <v>0</v>
      </c>
      <c r="G25" s="1216">
        <f>SUMIF(Мероприятия_план!$AE$82:$AE$84,G4,Мероприятия_план!$M$82:$M$84)</f>
        <v>0</v>
      </c>
      <c r="H25" s="1216">
        <f>SUMIF(Мероприятия_план!$AE$82:$AE$84,H4,Мероприятия_план!$M$82:$M$84)</f>
        <v>0</v>
      </c>
      <c r="I25" s="1216">
        <f>SUMIF(Мероприятия_план!$AE$82:$AE$84,I4,Мероприятия_план!$M$82:$M$84)</f>
        <v>0</v>
      </c>
      <c r="J25" s="1216">
        <f>SUMIF(Мероприятия_план!$AE$82:$AE$84,J4,Мероприятия_план!$M$82:$M$84)</f>
        <v>0</v>
      </c>
      <c r="K25" s="1216">
        <f>SUMIF(Мероприятия_план!$AE$82:$AE$84,K4,Мероприятия_план!$M$82:$M$84)</f>
        <v>0</v>
      </c>
      <c r="L25" s="1216">
        <f>SUMIF(Мероприятия_план!$AE$82:$AE$84,L4,Мероприятия_план!$M$82:$M$84)</f>
        <v>0</v>
      </c>
      <c r="M25" s="1216">
        <f>SUMIF(Мероприятия_план!$AE$82:$AE$84,M4,Мероприятия_план!$M$82:$M$84)</f>
        <v>0</v>
      </c>
      <c r="N25" s="1216">
        <f>SUMIF(Мероприятия_план!$AE$82:$AE$84,N4,Мероприятия_план!$M$82:$M$84)</f>
        <v>0</v>
      </c>
      <c r="O25" s="1216">
        <f>SUMIF(Мероприятия_план!$AE$82:$AE$84,O4,Мероприятия_план!$M$82:$M$84)</f>
        <v>0</v>
      </c>
      <c r="P25" s="1216">
        <f>SUMIF(Мероприятия_план!$AE$82:$AE$84,P4,Мероприятия_план!$M$82:$M$84)</f>
        <v>0</v>
      </c>
      <c r="Q25" s="1216">
        <f>SUMIF(Мероприятия_план!$AE$82:$AE$84,Q4,Мероприятия_план!$M$82:$M$84)</f>
        <v>0</v>
      </c>
      <c r="R25" s="1216">
        <f>SUMIF(Мероприятия_план!$AE$82:$AE$84,R4,Мероприятия_план!$M$82:$M$84)</f>
        <v>0</v>
      </c>
      <c r="S25" s="1216">
        <f>SUMIF(Мероприятия_план!$AE$82:$AE$84,S4,Мероприятия_план!$M$82:$M$84)</f>
        <v>0</v>
      </c>
      <c r="T25" s="1216">
        <f>SUMIF(Мероприятия_план!$AE$82:$AE$84,T4,Мероприятия_план!$M$82:$M$84)</f>
        <v>0</v>
      </c>
      <c r="U25" s="1216">
        <f>SUMIF(Мероприятия_план!$AE$82:$AE$84,U4,Мероприятия_план!$M$82:$M$84)</f>
        <v>0</v>
      </c>
      <c r="V25" s="1216">
        <f>SUMIF(Мероприятия_план!$AE$82:$AE$84,V4,Мероприятия_план!$M$82:$M$84)</f>
        <v>0</v>
      </c>
      <c r="W25" s="1216">
        <f>SUMIF(Мероприятия_план!$AE$82:$AE$84,W4,Мероприятия_план!$M$82:$M$84)</f>
        <v>0</v>
      </c>
      <c r="X25" s="1216">
        <f>SUMIF(Мероприятия_план!$AE$82:$AE$84,X4,Мероприятия_план!$M$82:$M$84)</f>
        <v>0</v>
      </c>
      <c r="Y25" s="1216">
        <f>SUMIF(Мероприятия_план!$AE$82:$AE$84,Y4,Мероприятия_план!$M$82:$M$84)</f>
        <v>0</v>
      </c>
      <c r="Z25" s="1216">
        <f>SUMIF(Мероприятия_план!$AE$82:$AE$84,Z4,Мероприятия_план!$M$82:$M$84)</f>
        <v>0</v>
      </c>
      <c r="AA25" s="1216">
        <f>SUMIF(Мероприятия_план!$AE$82:$AE$84,AA4,Мероприятия_план!$M$82:$M$84)</f>
        <v>0</v>
      </c>
      <c r="AB25" s="1216">
        <f>SUMIF(Мероприятия_план!$AE$82:$AE$84,AB4,Мероприятия_план!$M$82:$M$84)</f>
        <v>0</v>
      </c>
      <c r="AC25" s="1216">
        <f>SUMIF(Мероприятия_план!$AE$82:$AE$84,AC4,Мероприятия_план!$M$82:$M$84)</f>
        <v>0</v>
      </c>
      <c r="AD25" s="1216">
        <f>SUMIF(Мероприятия_план!$AE$82:$AE$84,AD4,Мероприятия_план!$M$82:$M$84)</f>
        <v>0</v>
      </c>
      <c r="AE25" s="1216"/>
      <c r="AF25" s="1216"/>
      <c r="AG25" s="1216"/>
      <c r="AH25" s="1214">
        <f>SUM(C25:AG25)</f>
        <v>0</v>
      </c>
      <c r="AI25" s="1223"/>
      <c r="AJ25" s="1215"/>
      <c r="AK25" s="1215"/>
      <c r="AL25" s="1199"/>
      <c r="AM25" s="1199"/>
      <c r="AN25" s="1199"/>
      <c r="AO25" s="1199"/>
      <c r="AP25" s="1199"/>
      <c r="AQ25" s="1199"/>
      <c r="AR25" s="1199"/>
      <c r="AS25" s="1199"/>
      <c r="AT25" s="1199"/>
      <c r="AU25" s="1199"/>
      <c r="AV25" s="1199"/>
      <c r="AW25" s="1199"/>
      <c r="AX25" s="1199"/>
      <c r="AY25" s="1199"/>
      <c r="AZ25" s="1199"/>
      <c r="BA25" s="1199"/>
      <c r="BB25" s="1199"/>
      <c r="BC25" s="1199"/>
      <c r="BD25" s="1199"/>
      <c r="BE25" s="1199"/>
      <c r="BF25" s="1199"/>
      <c r="BG25" s="1199"/>
      <c r="BH25" s="1199"/>
      <c r="BI25" s="1199"/>
      <c r="BJ25" s="1199"/>
      <c r="BK25" s="1199"/>
      <c r="BL25" s="1199"/>
      <c r="BM25" s="1199"/>
      <c r="BN25" s="1199"/>
      <c r="BO25" s="1199"/>
    </row>
    <row r="26" spans="1:67" s="1200" customFormat="1" ht="15.75">
      <c r="A26" s="2135" t="s">
        <v>293</v>
      </c>
      <c r="B26" s="1212" t="s">
        <v>166</v>
      </c>
      <c r="C26" s="1213">
        <f>COUNTIF(Мероприятия_план!$AE$96:$AE$101,C4)</f>
        <v>0</v>
      </c>
      <c r="D26" s="1213">
        <f>COUNTIF(Мероприятия_план!$AE$96:$AE$101,D4)</f>
        <v>0</v>
      </c>
      <c r="E26" s="1213">
        <f>COUNTIF(Мероприятия_план!$AE$96:$AE$101,E4)</f>
        <v>0</v>
      </c>
      <c r="F26" s="1213">
        <f>COUNTIF(Мероприятия_план!$AE$96:$AE$101,F4)</f>
        <v>0</v>
      </c>
      <c r="G26" s="1213">
        <f>COUNTIF(Мероприятия_план!$AE$96:$AE$101,G4)</f>
        <v>0</v>
      </c>
      <c r="H26" s="1213">
        <f>COUNTIF(Мероприятия_план!$AE$96:$AE$101,H4)</f>
        <v>1</v>
      </c>
      <c r="I26" s="1213">
        <f>COUNTIF(Мероприятия_план!$AE$96:$AE$101,I4)</f>
        <v>0</v>
      </c>
      <c r="J26" s="1213">
        <f>COUNTIF(Мероприятия_план!$AE$96:$AE$101,J4)</f>
        <v>0</v>
      </c>
      <c r="K26" s="1213">
        <f>COUNTIF(Мероприятия_план!$AE$96:$AE$101,K4)</f>
        <v>1</v>
      </c>
      <c r="L26" s="1213">
        <f>COUNTIF(Мероприятия_план!$AE$96:$AE$101,L4)</f>
        <v>0</v>
      </c>
      <c r="M26" s="1213">
        <f>COUNTIF(Мероприятия_план!$AE$96:$AE$101,M4)</f>
        <v>0</v>
      </c>
      <c r="N26" s="1213">
        <f>COUNTIF(Мероприятия_план!$AE$96:$AE$101,N4)</f>
        <v>1</v>
      </c>
      <c r="O26" s="1213">
        <f>COUNTIF(Мероприятия_план!$AE$96:$AE$101,O4)</f>
        <v>0</v>
      </c>
      <c r="P26" s="1213">
        <f>COUNTIF(Мероприятия_план!$AE$96:$AE$101,P4)</f>
        <v>0</v>
      </c>
      <c r="Q26" s="1213">
        <f>COUNTIF(Мероприятия_план!$AE$96:$AE$101,Q4)</f>
        <v>0</v>
      </c>
      <c r="R26" s="1213">
        <f>COUNTIF(Мероприятия_план!$AE$96:$AE$101,R4)</f>
        <v>0</v>
      </c>
      <c r="S26" s="1213">
        <f>COUNTIF(Мероприятия_план!$AE$96:$AE$101,S4)</f>
        <v>0</v>
      </c>
      <c r="T26" s="1213">
        <f>COUNTIF(Мероприятия_план!$AE$96:$AE$101,T4)</f>
        <v>0</v>
      </c>
      <c r="U26" s="1213">
        <f>COUNTIF(Мероприятия_план!$AE$96:$AE$101,U4)</f>
        <v>0</v>
      </c>
      <c r="V26" s="1213">
        <f>COUNTIF(Мероприятия_план!$AE$96:$AE$101,V4)</f>
        <v>1</v>
      </c>
      <c r="W26" s="1213">
        <f>COUNTIF(Мероприятия_план!$AE$96:$AE$101,W4)</f>
        <v>0</v>
      </c>
      <c r="X26" s="1213">
        <f>COUNTIF(Мероприятия_план!$AE$96:$AE$101,X4)</f>
        <v>0</v>
      </c>
      <c r="Y26" s="1213">
        <f>COUNTIF(Мероприятия_план!$AE$96:$AE$101,Y4)</f>
        <v>0</v>
      </c>
      <c r="Z26" s="1213">
        <f>COUNTIF(Мероприятия_план!$AE$96:$AE$101,Z4)</f>
        <v>0</v>
      </c>
      <c r="AA26" s="1213">
        <f>COUNTIF(Мероприятия_план!$AE$96:$AE$101,AA4)</f>
        <v>0</v>
      </c>
      <c r="AB26" s="1213">
        <f>COUNTIF(Мероприятия_план!$AE$96:$AE$101,AB4)</f>
        <v>0</v>
      </c>
      <c r="AC26" s="1213">
        <f>COUNTIF(Мероприятия_план!$AE$96:$AE$101,AC4)</f>
        <v>0</v>
      </c>
      <c r="AD26" s="1213">
        <f>COUNTIF(Мероприятия_план!$AE$96:$AE$101,AD4)</f>
        <v>0</v>
      </c>
      <c r="AE26" s="1213"/>
      <c r="AF26" s="1213"/>
      <c r="AG26" s="1213"/>
      <c r="AH26" s="1214">
        <f t="shared" si="2"/>
        <v>4</v>
      </c>
      <c r="AI26" s="1208"/>
      <c r="AJ26" s="1215"/>
      <c r="AK26" s="1215"/>
      <c r="AL26" s="1199"/>
      <c r="AM26" s="1199"/>
      <c r="AN26" s="1199"/>
      <c r="AO26" s="1199"/>
      <c r="AP26" s="1199"/>
      <c r="AQ26" s="1199"/>
      <c r="AR26" s="1199"/>
      <c r="AS26" s="1199"/>
      <c r="AT26" s="1199"/>
      <c r="AU26" s="1199"/>
      <c r="AV26" s="1199"/>
      <c r="AW26" s="1199"/>
      <c r="AX26" s="1199"/>
      <c r="AY26" s="1199"/>
      <c r="AZ26" s="1199"/>
      <c r="BA26" s="1199"/>
      <c r="BB26" s="1199"/>
      <c r="BC26" s="1199"/>
      <c r="BD26" s="1199"/>
      <c r="BE26" s="1199"/>
      <c r="BF26" s="1199"/>
      <c r="BG26" s="1199"/>
      <c r="BH26" s="1199"/>
      <c r="BI26" s="1199"/>
      <c r="BJ26" s="1199"/>
      <c r="BK26" s="1199"/>
      <c r="BL26" s="1199"/>
      <c r="BM26" s="1199"/>
      <c r="BN26" s="1199"/>
      <c r="BO26" s="1199"/>
    </row>
    <row r="27" spans="1:67" s="1200" customFormat="1" ht="15.75">
      <c r="A27" s="2135"/>
      <c r="B27" s="1212" t="s">
        <v>142</v>
      </c>
      <c r="C27" s="1216">
        <f>SUMIF(Мероприятия_план!$AE$96:$AE$101,C4,Мероприятия_план!$M$96:$M$101)</f>
        <v>0</v>
      </c>
      <c r="D27" s="1216">
        <f>SUMIF(Мероприятия_план!$AE$96:$AE$101,D4,Мероприятия_план!$M$96:$M$101)</f>
        <v>0</v>
      </c>
      <c r="E27" s="1216">
        <f>SUMIF(Мероприятия_план!$AE$96:$AE$101,E4,Мероприятия_план!$M$96:$M$101)</f>
        <v>0</v>
      </c>
      <c r="F27" s="1216">
        <f>SUMIF(Мероприятия_план!$AE$96:$AE$101,F4,Мероприятия_план!$M$96:$M$101)</f>
        <v>0</v>
      </c>
      <c r="G27" s="1216">
        <f>SUMIF(Мероприятия_план!$AE$96:$AE$101,G4,Мероприятия_план!$M$96:$M$101)</f>
        <v>0</v>
      </c>
      <c r="H27" s="1216">
        <f>SUMIF(Мероприятия_план!$AE$96:$AE$101,H4,Мероприятия_план!$M$96:$M$101)</f>
        <v>42</v>
      </c>
      <c r="I27" s="1216">
        <f>SUMIF(Мероприятия_план!$AE$96:$AE$101,I4,Мероприятия_план!$M$96:$M$101)</f>
        <v>0</v>
      </c>
      <c r="J27" s="1216">
        <f>SUMIF(Мероприятия_план!$AE$96:$AE$101,J4,Мероприятия_план!$M$96:$M$101)</f>
        <v>0</v>
      </c>
      <c r="K27" s="1216">
        <f>SUMIF(Мероприятия_план!$AE$96:$AE$101,K4,Мероприятия_план!$M$96:$M$101)</f>
        <v>116</v>
      </c>
      <c r="L27" s="1216">
        <f>SUMIF(Мероприятия_план!$AE$96:$AE$101,L4,Мероприятия_план!$M$96:$M$101)</f>
        <v>0</v>
      </c>
      <c r="M27" s="1216">
        <f>SUMIF(Мероприятия_план!$AE$96:$AE$101,M4,Мероприятия_план!$M$96:$M$101)</f>
        <v>0</v>
      </c>
      <c r="N27" s="1216">
        <f>SUMIF(Мероприятия_план!$AE$96:$AE$101,N4,Мероприятия_план!$M$96:$M$101)</f>
        <v>30</v>
      </c>
      <c r="O27" s="1216">
        <f>SUMIF(Мероприятия_план!$AE$96:$AE$101,O4,Мероприятия_план!$M$96:$M$101)</f>
        <v>0</v>
      </c>
      <c r="P27" s="1216">
        <f>SUMIF(Мероприятия_план!$AE$96:$AE$101,P4,Мероприятия_план!$M$96:$M$101)</f>
        <v>0</v>
      </c>
      <c r="Q27" s="1216">
        <f>SUMIF(Мероприятия_план!$AE$96:$AE$101,Q4,Мероприятия_план!$M$96:$M$101)</f>
        <v>0</v>
      </c>
      <c r="R27" s="1216">
        <f>SUMIF(Мероприятия_план!$AE$96:$AE$101,R4,Мероприятия_план!$M$96:$M$101)</f>
        <v>0</v>
      </c>
      <c r="S27" s="1216">
        <f>SUMIF(Мероприятия_план!$AE$96:$AE$101,S4,Мероприятия_план!$M$96:$M$101)</f>
        <v>0</v>
      </c>
      <c r="T27" s="1216">
        <f>SUMIF(Мероприятия_план!$AE$96:$AE$101,T4,Мероприятия_план!$M$96:$M$101)</f>
        <v>0</v>
      </c>
      <c r="U27" s="1216">
        <f>SUMIF(Мероприятия_план!$AE$96:$AE$101,U4,Мероприятия_план!$M$96:$M$101)</f>
        <v>0</v>
      </c>
      <c r="V27" s="1216">
        <f>SUMIF(Мероприятия_план!$AE$96:$AE$101,V4,Мероприятия_план!$M$96:$M$101)</f>
        <v>22</v>
      </c>
      <c r="W27" s="1216">
        <f>SUMIF(Мероприятия_план!$AE$96:$AE$101,W4,Мероприятия_план!$M$96:$M$101)</f>
        <v>0</v>
      </c>
      <c r="X27" s="1216">
        <f>SUMIF(Мероприятия_план!$AE$96:$AE$101,X4,Мероприятия_план!$M$96:$M$101)</f>
        <v>0</v>
      </c>
      <c r="Y27" s="1216">
        <f>SUMIF(Мероприятия_план!$AE$96:$AE$101,Y4,Мероприятия_план!$M$96:$M$101)</f>
        <v>0</v>
      </c>
      <c r="Z27" s="1216">
        <f>SUMIF(Мероприятия_план!$AE$96:$AE$101,Z4,Мероприятия_план!$M$96:$M$101)</f>
        <v>0</v>
      </c>
      <c r="AA27" s="1216">
        <f>SUMIF(Мероприятия_план!$AE$96:$AE$101,AA4,Мероприятия_план!$M$96:$M$101)</f>
        <v>0</v>
      </c>
      <c r="AB27" s="1216">
        <f>SUMIF(Мероприятия_план!$AE$96:$AE$101,AB4,Мероприятия_план!$M$96:$M$101)</f>
        <v>0</v>
      </c>
      <c r="AC27" s="1216">
        <f>SUMIF(Мероприятия_план!$AE$96:$AE$101,AC4,Мероприятия_план!$M$96:$M$101)</f>
        <v>0</v>
      </c>
      <c r="AD27" s="1216">
        <f>SUMIF(Мероприятия_план!$AE$96:$AE$101,AD4,Мероприятия_план!$M$96:$M$101)</f>
        <v>0</v>
      </c>
      <c r="AE27" s="1216"/>
      <c r="AF27" s="1216"/>
      <c r="AG27" s="1216"/>
      <c r="AH27" s="1214">
        <f t="shared" si="2"/>
        <v>210</v>
      </c>
      <c r="AI27" s="1208"/>
      <c r="AJ27" s="1215"/>
      <c r="AK27" s="1215"/>
      <c r="AL27" s="1199"/>
      <c r="AM27" s="1199"/>
      <c r="AN27" s="1199"/>
      <c r="AO27" s="1199"/>
      <c r="AP27" s="1199"/>
      <c r="AQ27" s="1199"/>
      <c r="AR27" s="1199"/>
      <c r="AS27" s="1199"/>
      <c r="AT27" s="1199"/>
      <c r="AU27" s="1199"/>
      <c r="AV27" s="1199"/>
      <c r="AW27" s="1199"/>
      <c r="AX27" s="1199"/>
      <c r="AY27" s="1199"/>
      <c r="AZ27" s="1199"/>
      <c r="BA27" s="1199"/>
      <c r="BB27" s="1199"/>
      <c r="BC27" s="1199"/>
      <c r="BD27" s="1199"/>
      <c r="BE27" s="1199"/>
      <c r="BF27" s="1199"/>
      <c r="BG27" s="1199"/>
      <c r="BH27" s="1199"/>
      <c r="BI27" s="1199"/>
      <c r="BJ27" s="1199"/>
      <c r="BK27" s="1199"/>
      <c r="BL27" s="1199"/>
      <c r="BM27" s="1199"/>
      <c r="BN27" s="1199"/>
      <c r="BO27" s="1199"/>
    </row>
    <row r="28" spans="1:67" s="1200" customFormat="1" ht="15.75">
      <c r="A28" s="2135" t="s">
        <v>290</v>
      </c>
      <c r="B28" s="1212" t="s">
        <v>166</v>
      </c>
      <c r="C28" s="1213">
        <f>COUNTIF(Мероприятия_план!$AE$123:$AE$125,C4)</f>
        <v>0</v>
      </c>
      <c r="D28" s="1213">
        <f>COUNTIF(Мероприятия_план!$AE$123:$AE$125,D4)</f>
        <v>0</v>
      </c>
      <c r="E28" s="1213">
        <f>COUNTIF(Мероприятия_план!$AE$123:$AE$125,E4)</f>
        <v>0</v>
      </c>
      <c r="F28" s="1213">
        <f>COUNTIF(Мероприятия_план!$AE$123:$AE$125,F4)</f>
        <v>0</v>
      </c>
      <c r="G28" s="1213">
        <f>COUNTIF(Мероприятия_план!$AE$123:$AE$125,G4)</f>
        <v>0</v>
      </c>
      <c r="H28" s="1213">
        <f>COUNTIF(Мероприятия_план!$AE$123:$AE$125,H4)</f>
        <v>0</v>
      </c>
      <c r="I28" s="1213">
        <f>COUNTIF(Мероприятия_план!$AE$123:$AE$125,I4)</f>
        <v>0</v>
      </c>
      <c r="J28" s="1213">
        <f>COUNTIF(Мероприятия_план!$AE$123:$AE$125,J4)</f>
        <v>0</v>
      </c>
      <c r="K28" s="1213">
        <f>COUNTIF(Мероприятия_план!$AE$123:$AE$125,K4)</f>
        <v>0</v>
      </c>
      <c r="L28" s="1213">
        <f>COUNTIF(Мероприятия_план!$AE$123:$AE$125,L4)</f>
        <v>0</v>
      </c>
      <c r="M28" s="1213">
        <f>COUNTIF(Мероприятия_план!$AE$123:$AE$125,M4)</f>
        <v>0</v>
      </c>
      <c r="N28" s="1213">
        <f>COUNTIF(Мероприятия_план!$AE$123:$AE$125,N4)</f>
        <v>0</v>
      </c>
      <c r="O28" s="1213">
        <f>COUNTIF(Мероприятия_план!$AE$123:$AE$125,O4)</f>
        <v>0</v>
      </c>
      <c r="P28" s="1213">
        <f>COUNTIF(Мероприятия_план!$AE$123:$AE$125,P4)</f>
        <v>0</v>
      </c>
      <c r="Q28" s="1213">
        <f>COUNTIF(Мероприятия_план!$AE$123:$AE$125,Q4)</f>
        <v>0</v>
      </c>
      <c r="R28" s="1213">
        <f>COUNTIF(Мероприятия_план!$AE$123:$AE$125,R4)</f>
        <v>0</v>
      </c>
      <c r="S28" s="1213">
        <f>COUNTIF(Мероприятия_план!$AE$123:$AE$125,S4)</f>
        <v>0</v>
      </c>
      <c r="T28" s="1213">
        <f>COUNTIF(Мероприятия_план!$AE$123:$AE$125,T4)</f>
        <v>0</v>
      </c>
      <c r="U28" s="1213">
        <f>COUNTIF(Мероприятия_план!$AE$123:$AE$125,U4)</f>
        <v>0</v>
      </c>
      <c r="V28" s="1213">
        <f>COUNTIF(Мероприятия_план!$AE$123:$AE$125,V4)</f>
        <v>0</v>
      </c>
      <c r="W28" s="1213">
        <f>COUNTIF(Мероприятия_план!$AE$123:$AE$125,W4)</f>
        <v>0</v>
      </c>
      <c r="X28" s="1213">
        <f>COUNTIF(Мероприятия_план!$AE$123:$AE$125,X4)</f>
        <v>0</v>
      </c>
      <c r="Y28" s="1213">
        <f>COUNTIF(Мероприятия_план!$AE$123:$AE$125,Y4)</f>
        <v>0</v>
      </c>
      <c r="Z28" s="1213">
        <f>COUNTIF(Мероприятия_план!$AE$123:$AE$125,Z4)</f>
        <v>0</v>
      </c>
      <c r="AA28" s="1213">
        <f>COUNTIF(Мероприятия_план!$AE$123:$AE$125,AA4)</f>
        <v>0</v>
      </c>
      <c r="AB28" s="1213">
        <f>COUNTIF(Мероприятия_план!$AE$123:$AE$125,AB4)</f>
        <v>0</v>
      </c>
      <c r="AC28" s="1213">
        <f>COUNTIF(Мероприятия_план!$AE$123:$AE$125,AC4)</f>
        <v>0</v>
      </c>
      <c r="AD28" s="1213">
        <f>COUNTIF(Мероприятия_план!$AE$123:$AE$125,AD4)</f>
        <v>0</v>
      </c>
      <c r="AE28" s="1213"/>
      <c r="AF28" s="1213"/>
      <c r="AG28" s="1213"/>
      <c r="AH28" s="1214">
        <f t="shared" si="2"/>
        <v>0</v>
      </c>
      <c r="AI28" s="1208"/>
      <c r="AJ28" s="1215"/>
      <c r="AK28" s="1215"/>
      <c r="AL28" s="1199"/>
      <c r="AM28" s="1199"/>
      <c r="AN28" s="1199"/>
      <c r="AO28" s="1199"/>
      <c r="AP28" s="1199"/>
      <c r="AQ28" s="1199"/>
      <c r="AR28" s="1199"/>
      <c r="AS28" s="1199"/>
      <c r="AT28" s="1199"/>
      <c r="AU28" s="1199"/>
      <c r="AV28" s="1199"/>
      <c r="AW28" s="1199"/>
      <c r="AX28" s="1199"/>
      <c r="AY28" s="1199"/>
      <c r="AZ28" s="1199"/>
      <c r="BA28" s="1199"/>
      <c r="BB28" s="1199"/>
      <c r="BC28" s="1199"/>
      <c r="BD28" s="1199"/>
      <c r="BE28" s="1199"/>
      <c r="BF28" s="1199"/>
      <c r="BG28" s="1199"/>
      <c r="BH28" s="1199"/>
      <c r="BI28" s="1199"/>
      <c r="BJ28" s="1199"/>
      <c r="BK28" s="1199"/>
      <c r="BL28" s="1199"/>
      <c r="BM28" s="1199"/>
      <c r="BN28" s="1199"/>
      <c r="BO28" s="1199"/>
    </row>
    <row r="29" spans="1:67" s="1200" customFormat="1" ht="15.75">
      <c r="A29" s="2135"/>
      <c r="B29" s="1212" t="s">
        <v>142</v>
      </c>
      <c r="C29" s="1216">
        <f>SUMIF(Мероприятия_план!$AE$123:$AE$125,C4,Мероприятия_план!$M$123:$M$125)</f>
        <v>0</v>
      </c>
      <c r="D29" s="1216">
        <f>SUMIF(Мероприятия_план!$AE$123:$AE$125,D4,Мероприятия_план!$M$123:$M$125)</f>
        <v>0</v>
      </c>
      <c r="E29" s="1216">
        <f>SUMIF(Мероприятия_план!$AE$123:$AE$125,E4,Мероприятия_план!$M$123:$M$125)</f>
        <v>0</v>
      </c>
      <c r="F29" s="1216">
        <f>SUMIF(Мероприятия_план!$AE$123:$AE$125,F4,Мероприятия_план!$M$123:$M$125)</f>
        <v>0</v>
      </c>
      <c r="G29" s="1216">
        <f>SUMIF(Мероприятия_план!$AE$123:$AE$125,G4,Мероприятия_план!$M$123:$M$125)</f>
        <v>0</v>
      </c>
      <c r="H29" s="1216">
        <f>SUMIF(Мероприятия_план!$AE$123:$AE$125,H4,Мероприятия_план!$M$123:$M$125)</f>
        <v>0</v>
      </c>
      <c r="I29" s="1216">
        <f>SUMIF(Мероприятия_план!$AE$123:$AE$125,I4,Мероприятия_план!$M$123:$M$125)</f>
        <v>0</v>
      </c>
      <c r="J29" s="1216">
        <f>SUMIF(Мероприятия_план!$AE$123:$AE$125,J4,Мероприятия_план!$M$123:$M$125)</f>
        <v>0</v>
      </c>
      <c r="K29" s="1216">
        <f>SUMIF(Мероприятия_план!$AE$123:$AE$125,K4,Мероприятия_план!$M$123:$M$125)</f>
        <v>0</v>
      </c>
      <c r="L29" s="1216">
        <f>SUMIF(Мероприятия_план!$AE$123:$AE$125,L4,Мероприятия_план!$M$123:$M$125)</f>
        <v>0</v>
      </c>
      <c r="M29" s="1216">
        <f>SUMIF(Мероприятия_план!$AE$123:$AE$125,M4,Мероприятия_план!$M$123:$M$125)</f>
        <v>0</v>
      </c>
      <c r="N29" s="1216">
        <f>SUMIF(Мероприятия_план!$AE$123:$AE$125,N4,Мероприятия_план!$M$123:$M$125)</f>
        <v>0</v>
      </c>
      <c r="O29" s="1216">
        <f>SUMIF(Мероприятия_план!$AE$123:$AE$125,O4,Мероприятия_план!$M$123:$M$125)</f>
        <v>0</v>
      </c>
      <c r="P29" s="1216">
        <f>SUMIF(Мероприятия_план!$AE$123:$AE$125,P4,Мероприятия_план!$M$123:$M$125)</f>
        <v>0</v>
      </c>
      <c r="Q29" s="1216">
        <f>SUMIF(Мероприятия_план!$AE$123:$AE$125,Q4,Мероприятия_план!$M$123:$M$125)</f>
        <v>0</v>
      </c>
      <c r="R29" s="1216">
        <f>SUMIF(Мероприятия_план!$AE$123:$AE$125,R4,Мероприятия_план!$M$123:$M$125)</f>
        <v>0</v>
      </c>
      <c r="S29" s="1216">
        <f>SUMIF(Мероприятия_план!$AE$123:$AE$125,S4,Мероприятия_план!$M$123:$M$125)</f>
        <v>0</v>
      </c>
      <c r="T29" s="1216">
        <f>SUMIF(Мероприятия_план!$AE$123:$AE$125,T4,Мероприятия_план!$M$123:$M$125)</f>
        <v>0</v>
      </c>
      <c r="U29" s="1216">
        <f>SUMIF(Мероприятия_план!$AE$123:$AE$125,U4,Мероприятия_план!$M$123:$M$125)</f>
        <v>0</v>
      </c>
      <c r="V29" s="1216">
        <f>SUMIF(Мероприятия_план!$AE$123:$AE$125,V4,Мероприятия_план!$M$123:$M$125)</f>
        <v>0</v>
      </c>
      <c r="W29" s="1216">
        <f>SUMIF(Мероприятия_план!$AE$123:$AE$125,W4,Мероприятия_план!$M$123:$M$125)</f>
        <v>0</v>
      </c>
      <c r="X29" s="1216">
        <f>SUMIF(Мероприятия_план!$AE$123:$AE$125,X4,Мероприятия_план!$M$123:$M$125)</f>
        <v>0</v>
      </c>
      <c r="Y29" s="1216">
        <f>SUMIF(Мероприятия_план!$AE$123:$AE$125,Y4,Мероприятия_план!$M$123:$M$125)</f>
        <v>0</v>
      </c>
      <c r="Z29" s="1216">
        <f>SUMIF(Мероприятия_план!$AE$123:$AE$125,Z4,Мероприятия_план!$M$123:$M$125)</f>
        <v>0</v>
      </c>
      <c r="AA29" s="1216">
        <f>SUMIF(Мероприятия_план!$AE$123:$AE$125,AA4,Мероприятия_план!$M$123:$M$125)</f>
        <v>0</v>
      </c>
      <c r="AB29" s="1216">
        <f>SUMIF(Мероприятия_план!$AE$123:$AE$125,AB4,Мероприятия_план!$M$123:$M$125)</f>
        <v>0</v>
      </c>
      <c r="AC29" s="1216">
        <f>SUMIF(Мероприятия_план!$AE$123:$AE$125,AC4,Мероприятия_план!$M$123:$M$125)</f>
        <v>0</v>
      </c>
      <c r="AD29" s="1216">
        <f>SUMIF(Мероприятия_план!$AE$123:$AE$125,AD4,Мероприятия_план!$M$123:$M$125)</f>
        <v>0</v>
      </c>
      <c r="AE29" s="1216"/>
      <c r="AF29" s="1216"/>
      <c r="AG29" s="1216"/>
      <c r="AH29" s="1214">
        <f t="shared" si="2"/>
        <v>0</v>
      </c>
      <c r="AI29" s="1208"/>
      <c r="AJ29" s="1215"/>
      <c r="AK29" s="1215"/>
      <c r="AL29" s="1199"/>
      <c r="AM29" s="1199"/>
      <c r="AN29" s="1199"/>
      <c r="AO29" s="1199"/>
      <c r="AP29" s="1199"/>
      <c r="AQ29" s="1199"/>
      <c r="AR29" s="1199"/>
      <c r="AS29" s="1199"/>
      <c r="AT29" s="1199"/>
      <c r="AU29" s="1199"/>
      <c r="AV29" s="1199"/>
      <c r="AW29" s="1199"/>
      <c r="AX29" s="1199"/>
      <c r="AY29" s="1199"/>
      <c r="AZ29" s="1199"/>
      <c r="BA29" s="1199"/>
      <c r="BB29" s="1199"/>
      <c r="BC29" s="1199"/>
      <c r="BD29" s="1199"/>
      <c r="BE29" s="1199"/>
      <c r="BF29" s="1199"/>
      <c r="BG29" s="1199"/>
      <c r="BH29" s="1199"/>
      <c r="BI29" s="1199"/>
      <c r="BJ29" s="1199"/>
      <c r="BK29" s="1199"/>
      <c r="BL29" s="1199"/>
      <c r="BM29" s="1199"/>
      <c r="BN29" s="1199"/>
      <c r="BO29" s="1199"/>
    </row>
    <row r="30" spans="1:67" s="1222" customFormat="1" ht="15.75">
      <c r="A30" s="2135" t="s">
        <v>294</v>
      </c>
      <c r="B30" s="1212" t="s">
        <v>166</v>
      </c>
      <c r="C30" s="1213">
        <f>COUNTIF(Мероприятия_план!$AE$145:$AE$152,C4)+COUNTIF(Мероприятия_план!$AE$156:$AE$160,C4)</f>
        <v>0</v>
      </c>
      <c r="D30" s="1213">
        <f>COUNTIF(Мероприятия_план!$AE$145:$AE$152,D4)+COUNTIF(Мероприятия_план!$AE$156:$AE$160,D4)</f>
        <v>0</v>
      </c>
      <c r="E30" s="1213">
        <f>COUNTIF(Мероприятия_план!$AE$145:$AE$152,E4)+COUNTIF(Мероприятия_план!$AE$156:$AE$160,E4)</f>
        <v>0</v>
      </c>
      <c r="F30" s="1213">
        <f>COUNTIF(Мероприятия_план!$AE$145:$AE$152,F4)+COUNTIF(Мероприятия_план!$AE$156:$AE$160,F4)</f>
        <v>0</v>
      </c>
      <c r="G30" s="1213">
        <f>COUNTIF(Мероприятия_план!$AE$145:$AE$152,G4)+COUNTIF(Мероприятия_план!$AE$156:$AE$160,G4)</f>
        <v>0</v>
      </c>
      <c r="H30" s="1213">
        <f>COUNTIF(Мероприятия_план!$AE$145:$AE$152,H4)+COUNTIF(Мероприятия_план!$AE$156:$AE$160,H4)</f>
        <v>0</v>
      </c>
      <c r="I30" s="1213">
        <f>COUNTIF(Мероприятия_план!$AE$145:$AE$152,I4)+COUNTIF(Мероприятия_план!$AE$156:$AE$160,I4)</f>
        <v>0</v>
      </c>
      <c r="J30" s="1213">
        <f>COUNTIF(Мероприятия_план!$AE$145:$AE$152,J4)+COUNTIF(Мероприятия_план!$AE$156:$AE$160,J4)</f>
        <v>0</v>
      </c>
      <c r="K30" s="1213">
        <f>COUNTIF(Мероприятия_план!$AE$145:$AE$152,K4)+COUNTIF(Мероприятия_план!$AE$156:$AE$160,K4)</f>
        <v>0</v>
      </c>
      <c r="L30" s="1213">
        <f>COUNTIF(Мероприятия_план!$AE$145:$AE$152,L4)+COUNTIF(Мероприятия_план!$AE$156:$AE$160,L4)</f>
        <v>0</v>
      </c>
      <c r="M30" s="1213">
        <f>COUNTIF(Мероприятия_план!$AE$145:$AE$152,M4)+COUNTIF(Мероприятия_план!$AE$156:$AE$160,M4)</f>
        <v>0</v>
      </c>
      <c r="N30" s="1213">
        <f>COUNTIF(Мероприятия_план!$AE$145:$AE$152,N4)+COUNTIF(Мероприятия_план!$AE$156:$AE$160,N4)</f>
        <v>0</v>
      </c>
      <c r="O30" s="1213">
        <f>COUNTIF(Мероприятия_план!$AE$145:$AE$152,O4)+COUNTIF(Мероприятия_план!$AE$156:$AE$160,O4)</f>
        <v>0</v>
      </c>
      <c r="P30" s="1213">
        <f>COUNTIF(Мероприятия_план!$AE$145:$AE$152,P4)+COUNTIF(Мероприятия_план!$AE$156:$AE$160,P4)</f>
        <v>0</v>
      </c>
      <c r="Q30" s="1213">
        <f>COUNTIF(Мероприятия_план!$AE$145:$AE$152,Q4)+COUNTIF(Мероприятия_план!$AE$156:$AE$160,Q4)</f>
        <v>0</v>
      </c>
      <c r="R30" s="1213">
        <f>COUNTIF(Мероприятия_план!$AE$145:$AE$152,R4)+COUNTIF(Мероприятия_план!$AE$156:$AE$160,R4)</f>
        <v>0</v>
      </c>
      <c r="S30" s="1213">
        <f>COUNTIF(Мероприятия_план!$AE$145:$AE$152,S4)+COUNTIF(Мероприятия_план!$AE$156:$AE$160,S4)</f>
        <v>0</v>
      </c>
      <c r="T30" s="1213">
        <f>COUNTIF(Мероприятия_план!$AE$145:$AE$152,T4)+COUNTIF(Мероприятия_план!$AE$156:$AE$160,T4)</f>
        <v>0</v>
      </c>
      <c r="U30" s="1213">
        <f>COUNTIF(Мероприятия_план!$AE$145:$AE$152,U4)+COUNTIF(Мероприятия_план!$AE$156:$AE$160,U4)</f>
        <v>0</v>
      </c>
      <c r="V30" s="1213">
        <f>COUNTIF(Мероприятия_план!$AE$145:$AE$152,V4)+COUNTIF(Мероприятия_план!$AE$156:$AE$160,V4)</f>
        <v>0</v>
      </c>
      <c r="W30" s="1213">
        <f>COUNTIF(Мероприятия_план!$AE$145:$AE$152,W4)+COUNTIF(Мероприятия_план!$AE$156:$AE$160,W4)</f>
        <v>0</v>
      </c>
      <c r="X30" s="1213">
        <f>COUNTIF(Мероприятия_план!$AE$145:$AE$152,X4)+COUNTIF(Мероприятия_план!$AE$156:$AE$160,X4)</f>
        <v>0</v>
      </c>
      <c r="Y30" s="1213">
        <f>COUNTIF(Мероприятия_план!$AE$145:$AE$152,Y4)+COUNTIF(Мероприятия_план!$AE$156:$AE$160,Y4)</f>
        <v>0</v>
      </c>
      <c r="Z30" s="1213">
        <f>COUNTIF(Мероприятия_план!$AE$145:$AE$152,Z4)+COUNTIF(Мероприятия_план!$AE$156:$AE$160,Z4)</f>
        <v>0</v>
      </c>
      <c r="AA30" s="1213">
        <f>COUNTIF(Мероприятия_план!$AE$145:$AE$152,AA4)+COUNTIF(Мероприятия_план!$AE$156:$AE$160,AA4)</f>
        <v>0</v>
      </c>
      <c r="AB30" s="1213">
        <f>COUNTIF(Мероприятия_план!$AE$145:$AE$152,AB4)+COUNTIF(Мероприятия_план!$AE$156:$AE$160,AB4)</f>
        <v>0</v>
      </c>
      <c r="AC30" s="1213">
        <f>COUNTIF(Мероприятия_план!$AE$145:$AE$152,AC4)+COUNTIF(Мероприятия_план!$AE$156:$AE$160,AC4)</f>
        <v>0</v>
      </c>
      <c r="AD30" s="1213">
        <f>COUNTIF(Мероприятия_план!$AE$145:$AE$152,AD4)+COUNTIF(Мероприятия_план!$AE$156:$AE$160,AD4)</f>
        <v>0</v>
      </c>
      <c r="AE30" s="1213"/>
      <c r="AF30" s="1213"/>
      <c r="AG30" s="1213"/>
      <c r="AH30" s="1214">
        <f t="shared" si="2"/>
        <v>0</v>
      </c>
      <c r="AI30" s="1208"/>
      <c r="AJ30" s="1215"/>
      <c r="AK30" s="1215"/>
      <c r="AL30" s="1199"/>
      <c r="AM30" s="1199"/>
      <c r="AN30" s="1199"/>
      <c r="AO30" s="1199"/>
      <c r="AP30" s="1199"/>
      <c r="AQ30" s="1199"/>
      <c r="AR30" s="1199"/>
      <c r="AS30" s="1199"/>
      <c r="AT30" s="1199"/>
      <c r="AU30" s="1199"/>
      <c r="AV30" s="1199"/>
      <c r="AW30" s="1199"/>
      <c r="AX30" s="1199"/>
      <c r="AY30" s="1199"/>
      <c r="AZ30" s="1199"/>
      <c r="BA30" s="1199"/>
      <c r="BB30" s="1199"/>
      <c r="BC30" s="1199"/>
      <c r="BD30" s="1199"/>
      <c r="BE30" s="1199"/>
      <c r="BF30" s="1199"/>
      <c r="BG30" s="1199"/>
      <c r="BH30" s="1199"/>
      <c r="BI30" s="1199"/>
      <c r="BJ30" s="1199"/>
      <c r="BK30" s="1199"/>
      <c r="BL30" s="1199"/>
      <c r="BM30" s="1199"/>
      <c r="BN30" s="1199"/>
      <c r="BO30" s="1199"/>
    </row>
    <row r="31" spans="1:67" s="1200" customFormat="1" ht="15.75">
      <c r="A31" s="2135"/>
      <c r="B31" s="1224" t="s">
        <v>142</v>
      </c>
      <c r="C31" s="1216">
        <f>SUMIF(Мероприятия_план!$AE$145:$AE$152,C4,Мероприятия_план!$M$145:$M$152)+SUMIF(Мероприятия_план!$AE$156:$AE$160,C4,Мероприятия_план!$M$156:$M$160)</f>
        <v>0</v>
      </c>
      <c r="D31" s="1216">
        <f>SUMIF(Мероприятия_план!$AE$145:$AE$152,D4,Мероприятия_план!$M$145:$M$152)+SUMIF(Мероприятия_план!$AE$156:$AE$160,D4,Мероприятия_план!$M$156:$M$160)</f>
        <v>0</v>
      </c>
      <c r="E31" s="1216">
        <f>SUMIF(Мероприятия_план!$AE$145:$AE$152,E4,Мероприятия_план!$M$145:$M$152)+SUMIF(Мероприятия_план!$AE$156:$AE$160,E4,Мероприятия_план!$M$156:$M$160)</f>
        <v>0</v>
      </c>
      <c r="F31" s="1216">
        <f>SUMIF(Мероприятия_план!$AE$145:$AE$152,F4,Мероприятия_план!$M$145:$M$152)+SUMIF(Мероприятия_план!$AE$156:$AE$160,F4,Мероприятия_план!$M$156:$M$160)</f>
        <v>0</v>
      </c>
      <c r="G31" s="1216">
        <f>SUMIF(Мероприятия_план!$AE$145:$AE$152,G4,Мероприятия_план!$M$145:$M$152)+SUMIF(Мероприятия_план!$AE$156:$AE$160,G4,Мероприятия_план!$M$156:$M$160)</f>
        <v>0</v>
      </c>
      <c r="H31" s="1216">
        <f>SUMIF(Мероприятия_план!$AE$145:$AE$152,H4,Мероприятия_план!$M$145:$M$152)+SUMIF(Мероприятия_план!$AE$156:$AE$160,H4,Мероприятия_план!$M$156:$M$160)</f>
        <v>0</v>
      </c>
      <c r="I31" s="1216">
        <f>SUMIF(Мероприятия_план!$AE$145:$AE$152,I4,Мероприятия_план!$M$145:$M$152)+SUMIF(Мероприятия_план!$AE$156:$AE$160,I4,Мероприятия_план!$M$156:$M$160)</f>
        <v>0</v>
      </c>
      <c r="J31" s="1216">
        <f>SUMIF(Мероприятия_план!$AE$145:$AE$152,J4,Мероприятия_план!$M$145:$M$152)+SUMIF(Мероприятия_план!$AE$156:$AE$160,J4,Мероприятия_план!$M$156:$M$160)</f>
        <v>0</v>
      </c>
      <c r="K31" s="1216">
        <f>SUMIF(Мероприятия_план!$AE$145:$AE$152,K4,Мероприятия_план!$M$145:$M$152)+SUMIF(Мероприятия_план!$AE$156:$AE$160,K4,Мероприятия_план!$M$156:$M$160)</f>
        <v>0</v>
      </c>
      <c r="L31" s="1216">
        <f>SUMIF(Мероприятия_план!$AE$145:$AE$152,L4,Мероприятия_план!$M$145:$M$152)+SUMIF(Мероприятия_план!$AE$156:$AE$160,L4,Мероприятия_план!$M$156:$M$160)</f>
        <v>0</v>
      </c>
      <c r="M31" s="1216">
        <f>SUMIF(Мероприятия_план!$AE$145:$AE$152,M4,Мероприятия_план!$M$145:$M$152)+SUMIF(Мероприятия_план!$AE$156:$AE$160,M4,Мероприятия_план!$M$156:$M$160)</f>
        <v>0</v>
      </c>
      <c r="N31" s="1216">
        <f>SUMIF(Мероприятия_план!$AE$145:$AE$152,N4,Мероприятия_план!$M$145:$M$152)+SUMIF(Мероприятия_план!$AE$156:$AE$160,N4,Мероприятия_план!$M$156:$M$160)</f>
        <v>0</v>
      </c>
      <c r="O31" s="1216">
        <f>SUMIF(Мероприятия_план!$AE$145:$AE$152,O4,Мероприятия_план!$M$145:$M$152)+SUMIF(Мероприятия_план!$AE$156:$AE$160,O4,Мероприятия_план!$M$156:$M$160)</f>
        <v>0</v>
      </c>
      <c r="P31" s="1216">
        <f>SUMIF(Мероприятия_план!$AE$145:$AE$152,P4,Мероприятия_план!$M$145:$M$152)+SUMIF(Мероприятия_план!$AE$156:$AE$160,P4,Мероприятия_план!$M$156:$M$160)</f>
        <v>0</v>
      </c>
      <c r="Q31" s="1216">
        <f>SUMIF(Мероприятия_план!$AE$145:$AE$152,Q4,Мероприятия_план!$M$145:$M$152)+SUMIF(Мероприятия_план!$AE$156:$AE$160,Q4,Мероприятия_план!$M$156:$M$160)</f>
        <v>0</v>
      </c>
      <c r="R31" s="1216">
        <f>SUMIF(Мероприятия_план!$AE$145:$AE$152,R4,Мероприятия_план!$M$145:$M$152)+SUMIF(Мероприятия_план!$AE$156:$AE$160,R4,Мероприятия_план!$M$156:$M$160)</f>
        <v>0</v>
      </c>
      <c r="S31" s="1216">
        <f>SUMIF(Мероприятия_план!$AE$145:$AE$152,S4,Мероприятия_план!$M$145:$M$152)+SUMIF(Мероприятия_план!$AE$156:$AE$160,S4,Мероприятия_план!$M$156:$M$160)</f>
        <v>0</v>
      </c>
      <c r="T31" s="1216">
        <f>SUMIF(Мероприятия_план!$AE$145:$AE$152,T4,Мероприятия_план!$M$145:$M$152)+SUMIF(Мероприятия_план!$AE$156:$AE$160,T4,Мероприятия_план!$M$156:$M$160)</f>
        <v>0</v>
      </c>
      <c r="U31" s="1216">
        <f>SUMIF(Мероприятия_план!$AE$145:$AE$152,U4,Мероприятия_план!$M$145:$M$152)+SUMIF(Мероприятия_план!$AE$156:$AE$160,U4,Мероприятия_план!$M$156:$M$160)</f>
        <v>0</v>
      </c>
      <c r="V31" s="1216">
        <f>SUMIF(Мероприятия_план!$AE$145:$AE$152,V4,Мероприятия_план!$M$145:$M$152)+SUMIF(Мероприятия_план!$AE$156:$AE$160,V4,Мероприятия_план!$M$156:$M$160)</f>
        <v>0</v>
      </c>
      <c r="W31" s="1216">
        <f>SUMIF(Мероприятия_план!$AE$145:$AE$152,W4,Мероприятия_план!$M$145:$M$152)+SUMIF(Мероприятия_план!$AE$156:$AE$160,W4,Мероприятия_план!$M$156:$M$160)</f>
        <v>0</v>
      </c>
      <c r="X31" s="1216">
        <f>SUMIF(Мероприятия_план!$AE$145:$AE$152,X4,Мероприятия_план!$M$145:$M$152)+SUMIF(Мероприятия_план!$AE$156:$AE$160,X4,Мероприятия_план!$M$156:$M$160)</f>
        <v>0</v>
      </c>
      <c r="Y31" s="1216">
        <f>SUMIF(Мероприятия_план!$AE$145:$AE$152,Y4,Мероприятия_план!$M$145:$M$152)+SUMIF(Мероприятия_план!$AE$156:$AE$160,Y4,Мероприятия_план!$M$156:$M$160)</f>
        <v>0</v>
      </c>
      <c r="Z31" s="1216">
        <f>SUMIF(Мероприятия_план!$AE$145:$AE$152,Z4,Мероприятия_план!$M$145:$M$152)+SUMIF(Мероприятия_план!$AE$156:$AE$160,Z4,Мероприятия_план!$M$156:$M$160)</f>
        <v>0</v>
      </c>
      <c r="AA31" s="1216">
        <f>SUMIF(Мероприятия_план!$AE$145:$AE$152,AA4,Мероприятия_план!$M$145:$M$152)+SUMIF(Мероприятия_план!$AE$156:$AE$160,AA4,Мероприятия_план!$M$156:$M$160)</f>
        <v>0</v>
      </c>
      <c r="AB31" s="1216">
        <f>SUMIF(Мероприятия_план!$AE$145:$AE$152,AB4,Мероприятия_план!$M$145:$M$152)+SUMIF(Мероприятия_план!$AE$156:$AE$160,AB4,Мероприятия_план!$M$156:$M$160)</f>
        <v>0</v>
      </c>
      <c r="AC31" s="1216">
        <f>SUMIF(Мероприятия_план!$AE$145:$AE$152,AC4,Мероприятия_план!$M$145:$M$152)+SUMIF(Мероприятия_план!$AE$156:$AE$160,AC4,Мероприятия_план!$M$156:$M$160)</f>
        <v>0</v>
      </c>
      <c r="AD31" s="1216">
        <f>SUMIF(Мероприятия_план!$AE$145:$AE$152,AD4,Мероприятия_план!$M$145:$M$152)+SUMIF(Мероприятия_план!$AE$156:$AE$160,AD4,Мероприятия_план!$M$156:$M$160)</f>
        <v>0</v>
      </c>
      <c r="AE31" s="1216"/>
      <c r="AF31" s="1216"/>
      <c r="AG31" s="1216"/>
      <c r="AH31" s="1214">
        <f t="shared" si="2"/>
        <v>0</v>
      </c>
      <c r="AI31" s="1208"/>
      <c r="AJ31" s="1215"/>
      <c r="AK31" s="1215"/>
      <c r="AL31" s="1199"/>
      <c r="AM31" s="1199"/>
      <c r="AN31" s="1199"/>
      <c r="AO31" s="1199"/>
      <c r="AP31" s="1199"/>
      <c r="AQ31" s="1199"/>
      <c r="AR31" s="1199"/>
      <c r="AS31" s="1199"/>
      <c r="AT31" s="1199"/>
      <c r="AU31" s="1199"/>
      <c r="AV31" s="1199"/>
      <c r="AW31" s="1199"/>
      <c r="AX31" s="1199"/>
      <c r="AY31" s="1199"/>
      <c r="AZ31" s="1199"/>
      <c r="BA31" s="1199"/>
      <c r="BB31" s="1199"/>
      <c r="BC31" s="1199"/>
      <c r="BD31" s="1199"/>
      <c r="BE31" s="1199"/>
      <c r="BF31" s="1199"/>
      <c r="BG31" s="1199"/>
      <c r="BH31" s="1199"/>
      <c r="BI31" s="1199"/>
      <c r="BJ31" s="1199"/>
      <c r="BK31" s="1199"/>
      <c r="BL31" s="1199"/>
      <c r="BM31" s="1199"/>
      <c r="BN31" s="1199"/>
      <c r="BO31" s="1199"/>
    </row>
    <row r="32" spans="1:67" s="1200" customFormat="1" ht="15.75">
      <c r="A32" s="2136" t="s">
        <v>146</v>
      </c>
      <c r="B32" s="1212" t="s">
        <v>166</v>
      </c>
      <c r="C32" s="1213"/>
      <c r="D32" s="1213"/>
      <c r="E32" s="1213"/>
      <c r="F32" s="1213"/>
      <c r="G32" s="1213"/>
      <c r="H32" s="1213"/>
      <c r="I32" s="1213"/>
      <c r="J32" s="1213"/>
      <c r="K32" s="1213"/>
      <c r="L32" s="1213"/>
      <c r="M32" s="1213"/>
      <c r="N32" s="1213"/>
      <c r="O32" s="1213"/>
      <c r="P32" s="1213"/>
      <c r="Q32" s="1213"/>
      <c r="R32" s="1213"/>
      <c r="S32" s="1213"/>
      <c r="T32" s="1213"/>
      <c r="U32" s="1213"/>
      <c r="V32" s="1213"/>
      <c r="W32" s="1213"/>
      <c r="X32" s="1213"/>
      <c r="Y32" s="1213"/>
      <c r="Z32" s="1213"/>
      <c r="AA32" s="1213"/>
      <c r="AB32" s="1213"/>
      <c r="AC32" s="1213"/>
      <c r="AD32" s="1213"/>
      <c r="AE32" s="1213"/>
      <c r="AF32" s="1213"/>
      <c r="AG32" s="1213"/>
      <c r="AH32" s="1214">
        <f t="shared" si="2"/>
        <v>0</v>
      </c>
      <c r="AI32" s="1208"/>
      <c r="AJ32" s="1215"/>
      <c r="AK32" s="1215"/>
      <c r="AL32" s="1199"/>
      <c r="AM32" s="1199"/>
      <c r="AN32" s="1199"/>
      <c r="AO32" s="1199"/>
      <c r="AP32" s="1199"/>
      <c r="AQ32" s="1199"/>
      <c r="AR32" s="1199"/>
      <c r="AS32" s="1199"/>
      <c r="AT32" s="1199"/>
      <c r="AU32" s="1199"/>
      <c r="AV32" s="1199"/>
      <c r="AW32" s="1199"/>
      <c r="AX32" s="1199"/>
      <c r="AY32" s="1199"/>
      <c r="AZ32" s="1199"/>
      <c r="BA32" s="1199"/>
      <c r="BB32" s="1199"/>
      <c r="BC32" s="1199"/>
      <c r="BD32" s="1199"/>
      <c r="BE32" s="1199"/>
      <c r="BF32" s="1199"/>
      <c r="BG32" s="1199"/>
      <c r="BH32" s="1199"/>
      <c r="BI32" s="1199"/>
      <c r="BJ32" s="1199"/>
      <c r="BK32" s="1199"/>
      <c r="BL32" s="1199"/>
      <c r="BM32" s="1199"/>
      <c r="BN32" s="1199"/>
      <c r="BO32" s="1199"/>
    </row>
    <row r="33" spans="1:67" s="1200" customFormat="1" ht="15.75">
      <c r="A33" s="2136"/>
      <c r="B33" s="1212" t="s">
        <v>142</v>
      </c>
      <c r="C33" s="1216"/>
      <c r="D33" s="1216"/>
      <c r="E33" s="1216"/>
      <c r="F33" s="1216"/>
      <c r="G33" s="1216"/>
      <c r="H33" s="1216"/>
      <c r="I33" s="1216"/>
      <c r="J33" s="1216"/>
      <c r="K33" s="1216"/>
      <c r="L33" s="1216"/>
      <c r="M33" s="1216"/>
      <c r="N33" s="1216"/>
      <c r="O33" s="1216"/>
      <c r="P33" s="1216"/>
      <c r="Q33" s="1216"/>
      <c r="R33" s="1216"/>
      <c r="S33" s="1216"/>
      <c r="T33" s="1216"/>
      <c r="U33" s="1216"/>
      <c r="V33" s="1216"/>
      <c r="W33" s="1216"/>
      <c r="X33" s="1216"/>
      <c r="Y33" s="1216"/>
      <c r="Z33" s="1216"/>
      <c r="AA33" s="1216"/>
      <c r="AB33" s="1216"/>
      <c r="AC33" s="1216"/>
      <c r="AD33" s="1216"/>
      <c r="AE33" s="1216"/>
      <c r="AF33" s="1216"/>
      <c r="AG33" s="1216"/>
      <c r="AH33" s="1214">
        <f t="shared" si="2"/>
        <v>0</v>
      </c>
      <c r="AI33" s="1208"/>
      <c r="AJ33" s="1215"/>
      <c r="AK33" s="1215"/>
      <c r="AL33" s="1199"/>
      <c r="AM33" s="1199"/>
      <c r="AN33" s="1199"/>
      <c r="AO33" s="1199"/>
      <c r="AP33" s="1199"/>
      <c r="AQ33" s="1199"/>
      <c r="AR33" s="1199"/>
      <c r="AS33" s="1199"/>
      <c r="AT33" s="1199"/>
      <c r="AU33" s="1199"/>
      <c r="AV33" s="1199"/>
      <c r="AW33" s="1199"/>
      <c r="AX33" s="1199"/>
      <c r="AY33" s="1199"/>
      <c r="AZ33" s="1199"/>
      <c r="BA33" s="1199"/>
      <c r="BB33" s="1199"/>
      <c r="BC33" s="1199"/>
      <c r="BD33" s="1199"/>
      <c r="BE33" s="1199"/>
      <c r="BF33" s="1199"/>
      <c r="BG33" s="1199"/>
      <c r="BH33" s="1199"/>
      <c r="BI33" s="1199"/>
      <c r="BJ33" s="1199"/>
      <c r="BK33" s="1199"/>
      <c r="BL33" s="1199"/>
      <c r="BM33" s="1199"/>
      <c r="BN33" s="1199"/>
      <c r="BO33" s="1199"/>
    </row>
    <row r="34" spans="1:67" s="1200" customFormat="1" ht="15.75">
      <c r="A34" s="2136" t="s">
        <v>167</v>
      </c>
      <c r="B34" s="1225" t="s">
        <v>166</v>
      </c>
      <c r="C34" s="1226">
        <f>14/28</f>
        <v>0.5</v>
      </c>
      <c r="D34" s="1226">
        <f t="shared" ref="D34:AD34" si="3">14/28</f>
        <v>0.5</v>
      </c>
      <c r="E34" s="1226">
        <f t="shared" si="3"/>
        <v>0.5</v>
      </c>
      <c r="F34" s="1226">
        <f t="shared" si="3"/>
        <v>0.5</v>
      </c>
      <c r="G34" s="1226">
        <f t="shared" si="3"/>
        <v>0.5</v>
      </c>
      <c r="H34" s="1226">
        <f t="shared" si="3"/>
        <v>0.5</v>
      </c>
      <c r="I34" s="1226">
        <f t="shared" si="3"/>
        <v>0.5</v>
      </c>
      <c r="J34" s="1226">
        <f t="shared" si="3"/>
        <v>0.5</v>
      </c>
      <c r="K34" s="1226">
        <f t="shared" si="3"/>
        <v>0.5</v>
      </c>
      <c r="L34" s="1226">
        <f t="shared" si="3"/>
        <v>0.5</v>
      </c>
      <c r="M34" s="1226">
        <f t="shared" si="3"/>
        <v>0.5</v>
      </c>
      <c r="N34" s="1226">
        <f t="shared" si="3"/>
        <v>0.5</v>
      </c>
      <c r="O34" s="1226">
        <f t="shared" si="3"/>
        <v>0.5</v>
      </c>
      <c r="P34" s="1226">
        <f t="shared" si="3"/>
        <v>0.5</v>
      </c>
      <c r="Q34" s="1226">
        <f t="shared" si="3"/>
        <v>0.5</v>
      </c>
      <c r="R34" s="1226">
        <f t="shared" si="3"/>
        <v>0.5</v>
      </c>
      <c r="S34" s="1226">
        <f t="shared" si="3"/>
        <v>0.5</v>
      </c>
      <c r="T34" s="1226">
        <f t="shared" si="3"/>
        <v>0.5</v>
      </c>
      <c r="U34" s="1226">
        <f t="shared" si="3"/>
        <v>0.5</v>
      </c>
      <c r="V34" s="1226">
        <f t="shared" si="3"/>
        <v>0.5</v>
      </c>
      <c r="W34" s="1226">
        <f t="shared" si="3"/>
        <v>0.5</v>
      </c>
      <c r="X34" s="1226">
        <f t="shared" si="3"/>
        <v>0.5</v>
      </c>
      <c r="Y34" s="1226">
        <f t="shared" si="3"/>
        <v>0.5</v>
      </c>
      <c r="Z34" s="1226">
        <f t="shared" si="3"/>
        <v>0.5</v>
      </c>
      <c r="AA34" s="1226">
        <f t="shared" si="3"/>
        <v>0.5</v>
      </c>
      <c r="AB34" s="1226">
        <f t="shared" si="3"/>
        <v>0.5</v>
      </c>
      <c r="AC34" s="1226">
        <f t="shared" si="3"/>
        <v>0.5</v>
      </c>
      <c r="AD34" s="1226">
        <f t="shared" si="3"/>
        <v>0.5</v>
      </c>
      <c r="AE34" s="1776"/>
      <c r="AF34" s="1776"/>
      <c r="AG34" s="1776"/>
      <c r="AH34" s="1214">
        <f>SUM(C34:AG34)</f>
        <v>14</v>
      </c>
      <c r="AI34" s="1208"/>
      <c r="AJ34" s="1215"/>
      <c r="AK34" s="1215"/>
      <c r="AL34" s="1199"/>
      <c r="AM34" s="1199"/>
      <c r="AN34" s="1199"/>
      <c r="AO34" s="1199"/>
      <c r="AP34" s="1199"/>
      <c r="AQ34" s="1199"/>
      <c r="AR34" s="1199"/>
      <c r="AS34" s="1199"/>
      <c r="AT34" s="1199"/>
      <c r="AU34" s="1199"/>
      <c r="AV34" s="1199"/>
      <c r="AW34" s="1199"/>
      <c r="AX34" s="1199"/>
      <c r="AY34" s="1199"/>
      <c r="AZ34" s="1199"/>
      <c r="BA34" s="1199"/>
      <c r="BB34" s="1199"/>
      <c r="BC34" s="1199"/>
      <c r="BD34" s="1199"/>
      <c r="BE34" s="1199"/>
      <c r="BF34" s="1199"/>
      <c r="BG34" s="1199"/>
      <c r="BH34" s="1199"/>
      <c r="BI34" s="1199"/>
      <c r="BJ34" s="1199"/>
      <c r="BK34" s="1199"/>
      <c r="BL34" s="1199"/>
      <c r="BM34" s="1199"/>
      <c r="BN34" s="1199"/>
      <c r="BO34" s="1199"/>
    </row>
    <row r="35" spans="1:67" s="1200" customFormat="1" ht="15.75">
      <c r="A35" s="2136"/>
      <c r="B35" s="1212" t="s">
        <v>142</v>
      </c>
      <c r="C35" s="1226">
        <f>345/28</f>
        <v>12.321428571428571</v>
      </c>
      <c r="D35" s="1226">
        <f t="shared" ref="D35:AD35" si="4">345/28</f>
        <v>12.321428571428571</v>
      </c>
      <c r="E35" s="1226">
        <f t="shared" si="4"/>
        <v>12.321428571428571</v>
      </c>
      <c r="F35" s="1226">
        <f t="shared" si="4"/>
        <v>12.321428571428571</v>
      </c>
      <c r="G35" s="1226">
        <f t="shared" si="4"/>
        <v>12.321428571428571</v>
      </c>
      <c r="H35" s="1226">
        <f t="shared" si="4"/>
        <v>12.321428571428571</v>
      </c>
      <c r="I35" s="1226">
        <f t="shared" si="4"/>
        <v>12.321428571428571</v>
      </c>
      <c r="J35" s="1226">
        <f t="shared" si="4"/>
        <v>12.321428571428571</v>
      </c>
      <c r="K35" s="1226">
        <f t="shared" si="4"/>
        <v>12.321428571428571</v>
      </c>
      <c r="L35" s="1226">
        <f t="shared" si="4"/>
        <v>12.321428571428571</v>
      </c>
      <c r="M35" s="1226">
        <f t="shared" si="4"/>
        <v>12.321428571428571</v>
      </c>
      <c r="N35" s="1226">
        <f t="shared" si="4"/>
        <v>12.321428571428571</v>
      </c>
      <c r="O35" s="1226">
        <f t="shared" si="4"/>
        <v>12.321428571428571</v>
      </c>
      <c r="P35" s="1226">
        <f t="shared" si="4"/>
        <v>12.321428571428571</v>
      </c>
      <c r="Q35" s="1226">
        <f t="shared" si="4"/>
        <v>12.321428571428571</v>
      </c>
      <c r="R35" s="1226">
        <f t="shared" si="4"/>
        <v>12.321428571428571</v>
      </c>
      <c r="S35" s="1226">
        <f t="shared" si="4"/>
        <v>12.321428571428571</v>
      </c>
      <c r="T35" s="1226">
        <f t="shared" si="4"/>
        <v>12.321428571428571</v>
      </c>
      <c r="U35" s="1226">
        <f t="shared" si="4"/>
        <v>12.321428571428571</v>
      </c>
      <c r="V35" s="1226">
        <f t="shared" si="4"/>
        <v>12.321428571428571</v>
      </c>
      <c r="W35" s="1226">
        <f t="shared" si="4"/>
        <v>12.321428571428571</v>
      </c>
      <c r="X35" s="1226">
        <f t="shared" si="4"/>
        <v>12.321428571428571</v>
      </c>
      <c r="Y35" s="1226">
        <f t="shared" si="4"/>
        <v>12.321428571428571</v>
      </c>
      <c r="Z35" s="1226">
        <f t="shared" si="4"/>
        <v>12.321428571428571</v>
      </c>
      <c r="AA35" s="1226">
        <f t="shared" si="4"/>
        <v>12.321428571428571</v>
      </c>
      <c r="AB35" s="1226">
        <f t="shared" si="4"/>
        <v>12.321428571428571</v>
      </c>
      <c r="AC35" s="1226">
        <f t="shared" si="4"/>
        <v>12.321428571428571</v>
      </c>
      <c r="AD35" s="1226">
        <f t="shared" si="4"/>
        <v>12.321428571428571</v>
      </c>
      <c r="AE35" s="1226"/>
      <c r="AF35" s="1226"/>
      <c r="AG35" s="1226"/>
      <c r="AH35" s="1762">
        <f t="shared" si="2"/>
        <v>345</v>
      </c>
      <c r="AI35" s="1768">
        <f>$C$35*$C$2+$D$35*$D$2+$E$35*$E$2+$F$35*$F$2+$G$35*$G$2+$H$35*$H$2+$I$35*$I$2+$J$35*$J$2+$K$35*$K$2+$L$35*$L$2+$M$35*$M$2+$N$35*$N$2+$O$35*$O$2+$P$35*$P$2+$Q$35*$Q$2+$R$35*$R$2+$S$35*$S$2+$T$35*$T$2+$U$35*$U$2+$V$35*$V$2+$W$35*$W$2+$X$35*$X$2+$Y$35*$Y$2+$Z$35*$Z$2+$AA$35*$AA$2+$AB$35*$AB$2+$AC$35*$AC$2+$AD$35*$AD$2</f>
        <v>5002.5</v>
      </c>
      <c r="AJ35" s="1768"/>
      <c r="AK35" s="1215"/>
      <c r="AL35" s="1199"/>
      <c r="AM35" s="1199"/>
      <c r="AN35" s="1199"/>
      <c r="AO35" s="1199"/>
      <c r="AP35" s="1199"/>
      <c r="AQ35" s="1199"/>
      <c r="AR35" s="1199"/>
      <c r="AS35" s="1199"/>
      <c r="AT35" s="1199"/>
      <c r="AU35" s="1199"/>
      <c r="AV35" s="1199"/>
      <c r="AW35" s="1199"/>
      <c r="AX35" s="1199"/>
      <c r="AY35" s="1199"/>
      <c r="AZ35" s="1199"/>
      <c r="BA35" s="1199"/>
      <c r="BB35" s="1199"/>
      <c r="BC35" s="1199"/>
      <c r="BD35" s="1199"/>
      <c r="BE35" s="1199"/>
      <c r="BF35" s="1199"/>
      <c r="BG35" s="1199"/>
      <c r="BH35" s="1199"/>
      <c r="BI35" s="1199"/>
      <c r="BJ35" s="1199"/>
      <c r="BK35" s="1199"/>
      <c r="BL35" s="1199"/>
      <c r="BM35" s="1199"/>
      <c r="BN35" s="1199"/>
      <c r="BO35" s="1199"/>
    </row>
    <row r="36" spans="1:67" s="1200" customFormat="1" ht="15.75">
      <c r="A36" s="2132" t="s">
        <v>168</v>
      </c>
      <c r="B36" s="1227" t="s">
        <v>166</v>
      </c>
      <c r="C36" s="1228">
        <f t="shared" ref="C36:AD36" si="5">C6+C8+C10+C14+C16+C20+C22+C24+C26+C28+C30+C34+C18</f>
        <v>0.5</v>
      </c>
      <c r="D36" s="1228">
        <f t="shared" si="5"/>
        <v>0.5</v>
      </c>
      <c r="E36" s="1228">
        <f t="shared" si="5"/>
        <v>1.5</v>
      </c>
      <c r="F36" s="1228">
        <f t="shared" si="5"/>
        <v>0.5</v>
      </c>
      <c r="G36" s="1228">
        <f t="shared" si="5"/>
        <v>0.5</v>
      </c>
      <c r="H36" s="1228">
        <f t="shared" si="5"/>
        <v>1.5</v>
      </c>
      <c r="I36" s="1228">
        <f t="shared" si="5"/>
        <v>0.5</v>
      </c>
      <c r="J36" s="1228">
        <f t="shared" si="5"/>
        <v>0.5</v>
      </c>
      <c r="K36" s="1228">
        <f t="shared" si="5"/>
        <v>1.5</v>
      </c>
      <c r="L36" s="1228">
        <f t="shared" si="5"/>
        <v>0.5</v>
      </c>
      <c r="M36" s="1228">
        <f t="shared" si="5"/>
        <v>0.5</v>
      </c>
      <c r="N36" s="1228">
        <f t="shared" si="5"/>
        <v>1.5</v>
      </c>
      <c r="O36" s="1228">
        <f t="shared" si="5"/>
        <v>0.5</v>
      </c>
      <c r="P36" s="1228">
        <f t="shared" si="5"/>
        <v>0.5</v>
      </c>
      <c r="Q36" s="1228">
        <f t="shared" si="5"/>
        <v>0.5</v>
      </c>
      <c r="R36" s="1228">
        <f t="shared" si="5"/>
        <v>0.5</v>
      </c>
      <c r="S36" s="1228">
        <f t="shared" si="5"/>
        <v>0.5</v>
      </c>
      <c r="T36" s="1228">
        <f t="shared" si="5"/>
        <v>0.5</v>
      </c>
      <c r="U36" s="1228">
        <f t="shared" si="5"/>
        <v>0.5</v>
      </c>
      <c r="V36" s="1228">
        <f t="shared" si="5"/>
        <v>1.5</v>
      </c>
      <c r="W36" s="1228">
        <f t="shared" si="5"/>
        <v>0.5</v>
      </c>
      <c r="X36" s="1228">
        <f t="shared" si="5"/>
        <v>0.5</v>
      </c>
      <c r="Y36" s="1228">
        <f t="shared" si="5"/>
        <v>0.5</v>
      </c>
      <c r="Z36" s="1228">
        <f t="shared" si="5"/>
        <v>0.5</v>
      </c>
      <c r="AA36" s="1228">
        <f t="shared" si="5"/>
        <v>0.5</v>
      </c>
      <c r="AB36" s="1228">
        <f t="shared" si="5"/>
        <v>0.5</v>
      </c>
      <c r="AC36" s="1228">
        <f t="shared" si="5"/>
        <v>0.5</v>
      </c>
      <c r="AD36" s="1228">
        <f t="shared" si="5"/>
        <v>1.5</v>
      </c>
      <c r="AE36" s="1228"/>
      <c r="AF36" s="1228"/>
      <c r="AG36" s="1228"/>
      <c r="AH36" s="1763">
        <f>SUM(C36:AG36)</f>
        <v>20</v>
      </c>
      <c r="AI36" s="1766"/>
      <c r="AJ36" s="1215"/>
      <c r="AK36" s="1215"/>
      <c r="AL36" s="1199"/>
      <c r="AM36" s="1199"/>
      <c r="AN36" s="1199"/>
      <c r="AO36" s="1199"/>
      <c r="AP36" s="1199"/>
      <c r="AQ36" s="1199"/>
      <c r="AR36" s="1199"/>
      <c r="AS36" s="1199"/>
      <c r="AT36" s="1199"/>
      <c r="AU36" s="1199"/>
      <c r="AV36" s="1199"/>
      <c r="AW36" s="1199"/>
      <c r="AX36" s="1199"/>
      <c r="AY36" s="1199"/>
      <c r="AZ36" s="1199"/>
      <c r="BA36" s="1199"/>
      <c r="BB36" s="1199"/>
      <c r="BC36" s="1199"/>
      <c r="BD36" s="1199"/>
      <c r="BE36" s="1199"/>
      <c r="BF36" s="1199"/>
      <c r="BG36" s="1199"/>
      <c r="BH36" s="1199"/>
      <c r="BI36" s="1199"/>
      <c r="BJ36" s="1199"/>
      <c r="BK36" s="1199"/>
      <c r="BL36" s="1199"/>
      <c r="BM36" s="1199"/>
      <c r="BN36" s="1199"/>
      <c r="BO36" s="1199"/>
    </row>
    <row r="37" spans="1:67" s="1200" customFormat="1" ht="15.75">
      <c r="A37" s="2132"/>
      <c r="B37" s="1227" t="s">
        <v>142</v>
      </c>
      <c r="C37" s="1228">
        <f t="shared" ref="C37:AD37" si="6">C7+C9+C11+C15+C17+C21+C23+C25+C27+C29+C31+C35+C19</f>
        <v>12.321428571428571</v>
      </c>
      <c r="D37" s="1228">
        <f t="shared" si="6"/>
        <v>12.321428571428571</v>
      </c>
      <c r="E37" s="1228">
        <f t="shared" si="6"/>
        <v>56.321428571428569</v>
      </c>
      <c r="F37" s="1228">
        <f t="shared" si="6"/>
        <v>12.321428571428571</v>
      </c>
      <c r="G37" s="1228">
        <f t="shared" si="6"/>
        <v>12.321428571428571</v>
      </c>
      <c r="H37" s="1228">
        <f t="shared" si="6"/>
        <v>54.321428571428569</v>
      </c>
      <c r="I37" s="1228">
        <f t="shared" si="6"/>
        <v>12.321428571428571</v>
      </c>
      <c r="J37" s="1228">
        <f t="shared" si="6"/>
        <v>12.321428571428571</v>
      </c>
      <c r="K37" s="1228">
        <f t="shared" si="6"/>
        <v>128.32142857142858</v>
      </c>
      <c r="L37" s="1228">
        <f t="shared" si="6"/>
        <v>12.321428571428571</v>
      </c>
      <c r="M37" s="1228">
        <f t="shared" si="6"/>
        <v>12.321428571428571</v>
      </c>
      <c r="N37" s="1228">
        <f t="shared" si="6"/>
        <v>42.321428571428569</v>
      </c>
      <c r="O37" s="1228">
        <f t="shared" si="6"/>
        <v>12.321428571428571</v>
      </c>
      <c r="P37" s="1228">
        <f t="shared" si="6"/>
        <v>12.321428571428571</v>
      </c>
      <c r="Q37" s="1228">
        <f t="shared" si="6"/>
        <v>12.321428571428571</v>
      </c>
      <c r="R37" s="1228">
        <f t="shared" si="6"/>
        <v>12.321428571428571</v>
      </c>
      <c r="S37" s="1228">
        <f t="shared" si="6"/>
        <v>12.321428571428571</v>
      </c>
      <c r="T37" s="1228">
        <f t="shared" si="6"/>
        <v>12.321428571428571</v>
      </c>
      <c r="U37" s="1228">
        <f t="shared" si="6"/>
        <v>12.321428571428571</v>
      </c>
      <c r="V37" s="1228">
        <f t="shared" si="6"/>
        <v>34.321428571428569</v>
      </c>
      <c r="W37" s="1228">
        <f t="shared" si="6"/>
        <v>12.321428571428571</v>
      </c>
      <c r="X37" s="1228">
        <f t="shared" si="6"/>
        <v>12.321428571428571</v>
      </c>
      <c r="Y37" s="1228">
        <f t="shared" si="6"/>
        <v>12.321428571428571</v>
      </c>
      <c r="Z37" s="1228">
        <f t="shared" si="6"/>
        <v>12.321428571428571</v>
      </c>
      <c r="AA37" s="1228">
        <f t="shared" si="6"/>
        <v>12.321428571428571</v>
      </c>
      <c r="AB37" s="1228">
        <f t="shared" si="6"/>
        <v>12.321428571428571</v>
      </c>
      <c r="AC37" s="1228">
        <f t="shared" si="6"/>
        <v>12.321428571428571</v>
      </c>
      <c r="AD37" s="1228">
        <f t="shared" si="6"/>
        <v>101.32142857142857</v>
      </c>
      <c r="AE37" s="1228"/>
      <c r="AF37" s="1228"/>
      <c r="AG37" s="1228"/>
      <c r="AH37" s="1763">
        <f>SUM(C37:AG37)</f>
        <v>687.99999999999977</v>
      </c>
      <c r="AI37" s="1766"/>
      <c r="AJ37" s="1215"/>
      <c r="AK37" s="1215"/>
      <c r="AL37" s="1199"/>
      <c r="AM37" s="1199"/>
      <c r="AN37" s="1199"/>
      <c r="AO37" s="1199"/>
      <c r="AP37" s="1199"/>
      <c r="AQ37" s="1199"/>
      <c r="AR37" s="1199"/>
      <c r="AS37" s="1199"/>
      <c r="AT37" s="1199"/>
      <c r="AU37" s="1199"/>
      <c r="AV37" s="1199"/>
      <c r="AW37" s="1199"/>
      <c r="AX37" s="1199"/>
      <c r="AY37" s="1199"/>
      <c r="AZ37" s="1199"/>
      <c r="BA37" s="1199"/>
      <c r="BB37" s="1199"/>
      <c r="BC37" s="1199"/>
      <c r="BD37" s="1199"/>
      <c r="BE37" s="1199"/>
      <c r="BF37" s="1199"/>
      <c r="BG37" s="1199"/>
      <c r="BH37" s="1199"/>
      <c r="BI37" s="1199"/>
      <c r="BJ37" s="1199"/>
      <c r="BK37" s="1199"/>
      <c r="BL37" s="1199"/>
      <c r="BM37" s="1199"/>
      <c r="BN37" s="1199"/>
      <c r="BO37" s="1199"/>
    </row>
    <row r="38" spans="1:67" s="1200" customFormat="1" ht="15.75">
      <c r="A38" s="2137" t="s">
        <v>169</v>
      </c>
      <c r="B38" s="1230" t="s">
        <v>166</v>
      </c>
      <c r="C38" s="1231">
        <f>C36-C34</f>
        <v>0</v>
      </c>
      <c r="D38" s="1231">
        <f t="shared" ref="D38:AD39" si="7">D36-D34</f>
        <v>0</v>
      </c>
      <c r="E38" s="1231">
        <f t="shared" si="7"/>
        <v>1</v>
      </c>
      <c r="F38" s="1231">
        <f t="shared" si="7"/>
        <v>0</v>
      </c>
      <c r="G38" s="1231">
        <f t="shared" si="7"/>
        <v>0</v>
      </c>
      <c r="H38" s="1231">
        <f t="shared" si="7"/>
        <v>1</v>
      </c>
      <c r="I38" s="1231">
        <f t="shared" si="7"/>
        <v>0</v>
      </c>
      <c r="J38" s="1231">
        <f t="shared" si="7"/>
        <v>0</v>
      </c>
      <c r="K38" s="1231">
        <f t="shared" si="7"/>
        <v>1</v>
      </c>
      <c r="L38" s="1231">
        <f t="shared" si="7"/>
        <v>0</v>
      </c>
      <c r="M38" s="1231">
        <f t="shared" si="7"/>
        <v>0</v>
      </c>
      <c r="N38" s="1231">
        <f t="shared" si="7"/>
        <v>1</v>
      </c>
      <c r="O38" s="1231">
        <f t="shared" si="7"/>
        <v>0</v>
      </c>
      <c r="P38" s="1231">
        <f t="shared" si="7"/>
        <v>0</v>
      </c>
      <c r="Q38" s="1231">
        <f t="shared" si="7"/>
        <v>0</v>
      </c>
      <c r="R38" s="1231">
        <f t="shared" si="7"/>
        <v>0</v>
      </c>
      <c r="S38" s="1231">
        <f t="shared" si="7"/>
        <v>0</v>
      </c>
      <c r="T38" s="1231">
        <f t="shared" si="7"/>
        <v>0</v>
      </c>
      <c r="U38" s="1231">
        <f t="shared" si="7"/>
        <v>0</v>
      </c>
      <c r="V38" s="1231">
        <f t="shared" si="7"/>
        <v>1</v>
      </c>
      <c r="W38" s="1231">
        <f t="shared" si="7"/>
        <v>0</v>
      </c>
      <c r="X38" s="1231">
        <f t="shared" si="7"/>
        <v>0</v>
      </c>
      <c r="Y38" s="1231">
        <f t="shared" si="7"/>
        <v>0</v>
      </c>
      <c r="Z38" s="1231">
        <f t="shared" si="7"/>
        <v>0</v>
      </c>
      <c r="AA38" s="1231">
        <f t="shared" si="7"/>
        <v>0</v>
      </c>
      <c r="AB38" s="1231">
        <f t="shared" si="7"/>
        <v>0</v>
      </c>
      <c r="AC38" s="1231">
        <f t="shared" si="7"/>
        <v>0</v>
      </c>
      <c r="AD38" s="1231">
        <f t="shared" si="7"/>
        <v>1</v>
      </c>
      <c r="AE38" s="1231"/>
      <c r="AF38" s="1231"/>
      <c r="AG38" s="1231"/>
      <c r="AH38" s="1764">
        <f>SUM(C38:AG38)</f>
        <v>6</v>
      </c>
      <c r="AI38" s="1766"/>
      <c r="AJ38" s="1215"/>
      <c r="AK38" s="1215"/>
      <c r="AL38" s="1199"/>
      <c r="AM38" s="1199"/>
      <c r="AN38" s="1199"/>
      <c r="AO38" s="1199"/>
      <c r="AP38" s="1199"/>
      <c r="AQ38" s="1199"/>
      <c r="AR38" s="1199"/>
      <c r="AS38" s="1199"/>
      <c r="AT38" s="1199"/>
      <c r="AU38" s="1199"/>
      <c r="AV38" s="1199"/>
      <c r="AW38" s="1199"/>
      <c r="AX38" s="1199"/>
      <c r="AY38" s="1199"/>
      <c r="AZ38" s="1199"/>
      <c r="BA38" s="1199"/>
      <c r="BB38" s="1199"/>
      <c r="BC38" s="1199"/>
      <c r="BD38" s="1199"/>
      <c r="BE38" s="1199"/>
      <c r="BF38" s="1199"/>
      <c r="BG38" s="1199"/>
      <c r="BH38" s="1199"/>
      <c r="BI38" s="1199"/>
      <c r="BJ38" s="1199"/>
      <c r="BK38" s="1199"/>
      <c r="BL38" s="1199"/>
      <c r="BM38" s="1199"/>
      <c r="BN38" s="1199"/>
      <c r="BO38" s="1199"/>
    </row>
    <row r="39" spans="1:67" s="1200" customFormat="1" ht="15.75">
      <c r="A39" s="2137"/>
      <c r="B39" s="1230" t="s">
        <v>142</v>
      </c>
      <c r="C39" s="1231">
        <f>C37-C35</f>
        <v>0</v>
      </c>
      <c r="D39" s="1231">
        <f t="shared" si="7"/>
        <v>0</v>
      </c>
      <c r="E39" s="1231">
        <f t="shared" si="7"/>
        <v>44</v>
      </c>
      <c r="F39" s="1231">
        <f t="shared" si="7"/>
        <v>0</v>
      </c>
      <c r="G39" s="1231">
        <f t="shared" si="7"/>
        <v>0</v>
      </c>
      <c r="H39" s="1231">
        <f t="shared" si="7"/>
        <v>42</v>
      </c>
      <c r="I39" s="1231">
        <f t="shared" si="7"/>
        <v>0</v>
      </c>
      <c r="J39" s="1231">
        <f t="shared" si="7"/>
        <v>0</v>
      </c>
      <c r="K39" s="1231">
        <f t="shared" si="7"/>
        <v>116.00000000000001</v>
      </c>
      <c r="L39" s="1231">
        <f t="shared" si="7"/>
        <v>0</v>
      </c>
      <c r="M39" s="1231">
        <f t="shared" si="7"/>
        <v>0</v>
      </c>
      <c r="N39" s="1231">
        <f t="shared" si="7"/>
        <v>30</v>
      </c>
      <c r="O39" s="1231">
        <f t="shared" si="7"/>
        <v>0</v>
      </c>
      <c r="P39" s="1231">
        <f t="shared" si="7"/>
        <v>0</v>
      </c>
      <c r="Q39" s="1231">
        <f t="shared" si="7"/>
        <v>0</v>
      </c>
      <c r="R39" s="1231">
        <f t="shared" si="7"/>
        <v>0</v>
      </c>
      <c r="S39" s="1231">
        <f t="shared" si="7"/>
        <v>0</v>
      </c>
      <c r="T39" s="1231">
        <f t="shared" si="7"/>
        <v>0</v>
      </c>
      <c r="U39" s="1231">
        <f t="shared" si="7"/>
        <v>0</v>
      </c>
      <c r="V39" s="1231">
        <f t="shared" si="7"/>
        <v>22</v>
      </c>
      <c r="W39" s="1231">
        <f t="shared" si="7"/>
        <v>0</v>
      </c>
      <c r="X39" s="1231">
        <f t="shared" si="7"/>
        <v>0</v>
      </c>
      <c r="Y39" s="1231">
        <f t="shared" si="7"/>
        <v>0</v>
      </c>
      <c r="Z39" s="1231">
        <f t="shared" si="7"/>
        <v>0</v>
      </c>
      <c r="AA39" s="1231">
        <f t="shared" si="7"/>
        <v>0</v>
      </c>
      <c r="AB39" s="1231">
        <f t="shared" si="7"/>
        <v>0</v>
      </c>
      <c r="AC39" s="1231">
        <f t="shared" si="7"/>
        <v>0</v>
      </c>
      <c r="AD39" s="1231">
        <f t="shared" si="7"/>
        <v>89</v>
      </c>
      <c r="AE39" s="1231"/>
      <c r="AF39" s="1231"/>
      <c r="AG39" s="1231"/>
      <c r="AH39" s="1764">
        <f>SUM(C39:AG39)</f>
        <v>343</v>
      </c>
      <c r="AI39" s="1766"/>
      <c r="AJ39" s="1215"/>
      <c r="AK39" s="1215"/>
      <c r="AL39" s="1199"/>
      <c r="AM39" s="1199"/>
      <c r="AN39" s="1199"/>
      <c r="AO39" s="1199"/>
      <c r="AP39" s="1199"/>
      <c r="AQ39" s="1199"/>
      <c r="AR39" s="1199"/>
      <c r="AS39" s="1199"/>
      <c r="AT39" s="1199"/>
      <c r="AU39" s="1199"/>
      <c r="AV39" s="1199"/>
      <c r="AW39" s="1199"/>
      <c r="AX39" s="1199"/>
      <c r="AY39" s="1199"/>
      <c r="AZ39" s="1199"/>
      <c r="BA39" s="1199"/>
      <c r="BB39" s="1199"/>
      <c r="BC39" s="1199"/>
      <c r="BD39" s="1199"/>
      <c r="BE39" s="1199"/>
      <c r="BF39" s="1199"/>
      <c r="BG39" s="1199"/>
      <c r="BH39" s="1199"/>
      <c r="BI39" s="1199"/>
      <c r="BJ39" s="1199"/>
      <c r="BK39" s="1199"/>
      <c r="BL39" s="1199"/>
      <c r="BM39" s="1199"/>
      <c r="BN39" s="1199"/>
      <c r="BO39" s="1199"/>
    </row>
    <row r="40" spans="1:67" s="1200" customFormat="1" ht="12" customHeight="1">
      <c r="A40" s="1233"/>
      <c r="B40" s="1234"/>
      <c r="C40" s="1234"/>
      <c r="D40" s="1234"/>
      <c r="E40" s="1234"/>
      <c r="F40" s="1234"/>
      <c r="G40" s="1234"/>
      <c r="H40" s="1234"/>
      <c r="I40" s="1234"/>
      <c r="J40" s="1234"/>
      <c r="K40" s="1234"/>
      <c r="L40" s="1234"/>
      <c r="M40" s="1234"/>
      <c r="N40" s="1234"/>
      <c r="O40" s="1234"/>
      <c r="P40" s="1234"/>
      <c r="Q40" s="1234"/>
      <c r="R40" s="1234"/>
      <c r="S40" s="1234"/>
      <c r="T40" s="1234"/>
      <c r="U40" s="1234"/>
      <c r="V40" s="1234"/>
      <c r="W40" s="1234"/>
      <c r="X40" s="1234"/>
      <c r="Y40" s="1234"/>
      <c r="Z40" s="1234"/>
      <c r="AA40" s="1234"/>
      <c r="AB40" s="1234"/>
      <c r="AC40" s="1234"/>
      <c r="AD40" s="1234"/>
      <c r="AE40" s="1234"/>
      <c r="AF40" s="1234"/>
      <c r="AG40" s="1234"/>
      <c r="AH40" s="1234"/>
      <c r="AI40" s="1766"/>
      <c r="AJ40" s="1199"/>
      <c r="AK40" s="1199"/>
      <c r="AL40" s="1199"/>
      <c r="AM40" s="1199"/>
      <c r="AN40" s="1199"/>
      <c r="AO40" s="1199"/>
      <c r="AP40" s="1199"/>
      <c r="AQ40" s="1199"/>
      <c r="AR40" s="1199"/>
      <c r="AS40" s="1199"/>
      <c r="AT40" s="1199"/>
      <c r="AU40" s="1199"/>
      <c r="AV40" s="1199"/>
      <c r="AW40" s="1199"/>
      <c r="AX40" s="1199"/>
      <c r="AY40" s="1199"/>
      <c r="AZ40" s="1199"/>
      <c r="BA40" s="1199"/>
      <c r="BB40" s="1199"/>
      <c r="BC40" s="1199"/>
      <c r="BD40" s="1199"/>
      <c r="BE40" s="1199"/>
      <c r="BF40" s="1199"/>
      <c r="BG40" s="1199"/>
      <c r="BH40" s="1199"/>
      <c r="BI40" s="1199"/>
      <c r="BJ40" s="1199"/>
      <c r="BK40" s="1199"/>
      <c r="BL40" s="1199"/>
      <c r="BM40" s="1199"/>
      <c r="BN40" s="1199"/>
      <c r="BO40" s="1199"/>
    </row>
    <row r="41" spans="1:67" s="1200" customFormat="1" ht="15.75">
      <c r="A41" s="2133" t="s">
        <v>170</v>
      </c>
      <c r="B41" s="2133"/>
      <c r="C41" s="1236"/>
      <c r="D41" s="1236"/>
      <c r="E41" s="1236"/>
      <c r="F41" s="1236"/>
      <c r="G41" s="1236"/>
      <c r="H41" s="1236"/>
      <c r="I41" s="1236"/>
      <c r="J41" s="1236"/>
      <c r="K41" s="1236"/>
      <c r="L41" s="1236"/>
      <c r="M41" s="1236"/>
      <c r="N41" s="1236"/>
      <c r="O41" s="1236"/>
      <c r="P41" s="1236"/>
      <c r="Q41" s="1236"/>
      <c r="R41" s="1236"/>
      <c r="S41" s="1236"/>
      <c r="T41" s="1236"/>
      <c r="U41" s="1236"/>
      <c r="V41" s="1236"/>
      <c r="W41" s="1236"/>
      <c r="X41" s="1236"/>
      <c r="Y41" s="1236"/>
      <c r="Z41" s="1236"/>
      <c r="AA41" s="1236"/>
      <c r="AB41" s="1236"/>
      <c r="AC41" s="1236"/>
      <c r="AD41" s="1236"/>
      <c r="AE41" s="1236"/>
      <c r="AF41" s="1236"/>
      <c r="AG41" s="1236"/>
      <c r="AH41" s="1765"/>
      <c r="AI41" s="1766"/>
      <c r="AJ41" s="1199"/>
      <c r="AK41" s="1199"/>
      <c r="AL41" s="1199"/>
      <c r="AM41" s="1199"/>
      <c r="AN41" s="1199"/>
      <c r="AO41" s="1199"/>
      <c r="AP41" s="1199"/>
      <c r="AQ41" s="1199"/>
      <c r="AR41" s="1199"/>
      <c r="AS41" s="1199"/>
      <c r="AT41" s="1199"/>
      <c r="AU41" s="1199"/>
      <c r="AV41" s="1199"/>
      <c r="AW41" s="1199"/>
      <c r="AX41" s="1199"/>
      <c r="AY41" s="1199"/>
      <c r="AZ41" s="1199"/>
      <c r="BA41" s="1199"/>
      <c r="BB41" s="1199"/>
      <c r="BC41" s="1199"/>
      <c r="BD41" s="1199"/>
      <c r="BE41" s="1199"/>
      <c r="BF41" s="1199"/>
      <c r="BG41" s="1199"/>
      <c r="BH41" s="1199"/>
      <c r="BI41" s="1199"/>
      <c r="BJ41" s="1199"/>
      <c r="BK41" s="1199"/>
      <c r="BL41" s="1199"/>
      <c r="BM41" s="1199"/>
      <c r="BN41" s="1199"/>
      <c r="BO41" s="1199"/>
    </row>
    <row r="42" spans="1:67" ht="15.75">
      <c r="A42" s="2134" t="s">
        <v>281</v>
      </c>
      <c r="B42" s="1212" t="s">
        <v>166</v>
      </c>
      <c r="C42" s="1213"/>
      <c r="D42" s="1213"/>
      <c r="E42" s="1213"/>
      <c r="F42" s="1213"/>
      <c r="G42" s="1213"/>
      <c r="H42" s="1213"/>
      <c r="I42" s="1213"/>
      <c r="J42" s="1213"/>
      <c r="K42" s="1213"/>
      <c r="L42" s="1213"/>
      <c r="M42" s="1213"/>
      <c r="N42" s="1213"/>
      <c r="O42" s="1213"/>
      <c r="P42" s="1213"/>
      <c r="Q42" s="1213"/>
      <c r="R42" s="1213"/>
      <c r="S42" s="1213"/>
      <c r="T42" s="1213"/>
      <c r="U42" s="1213"/>
      <c r="V42" s="1213"/>
      <c r="W42" s="1213"/>
      <c r="X42" s="1213"/>
      <c r="Y42" s="1213"/>
      <c r="Z42" s="1213"/>
      <c r="AA42" s="1213"/>
      <c r="AB42" s="1213"/>
      <c r="AC42" s="1213"/>
      <c r="AD42" s="1213"/>
      <c r="AE42" s="1213"/>
      <c r="AF42" s="1213"/>
      <c r="AG42" s="1213"/>
      <c r="AH42" s="1762">
        <f t="shared" ref="AH42:AH49" si="8">SUM(C42:AG42)</f>
        <v>0</v>
      </c>
      <c r="AI42" s="1767"/>
      <c r="AJ42" s="1201"/>
      <c r="AK42" s="1201"/>
    </row>
    <row r="43" spans="1:67" ht="15.75">
      <c r="A43" s="2134"/>
      <c r="B43" s="1212" t="s">
        <v>142</v>
      </c>
      <c r="C43" s="1216"/>
      <c r="D43" s="1216"/>
      <c r="E43" s="1216"/>
      <c r="F43" s="1216"/>
      <c r="G43" s="1216"/>
      <c r="H43" s="1216"/>
      <c r="I43" s="1216"/>
      <c r="J43" s="1216"/>
      <c r="K43" s="1216"/>
      <c r="L43" s="1216"/>
      <c r="M43" s="1216"/>
      <c r="N43" s="1216"/>
      <c r="O43" s="1216"/>
      <c r="P43" s="1216"/>
      <c r="Q43" s="1216"/>
      <c r="R43" s="1216"/>
      <c r="S43" s="1216"/>
      <c r="T43" s="1216"/>
      <c r="U43" s="1216"/>
      <c r="V43" s="1216"/>
      <c r="W43" s="1216"/>
      <c r="X43" s="1216"/>
      <c r="Y43" s="1216"/>
      <c r="Z43" s="1216"/>
      <c r="AA43" s="1216"/>
      <c r="AB43" s="1216"/>
      <c r="AC43" s="1216"/>
      <c r="AD43" s="1216"/>
      <c r="AE43" s="1216"/>
      <c r="AF43" s="1216"/>
      <c r="AG43" s="1216"/>
      <c r="AH43" s="1762">
        <f t="shared" si="8"/>
        <v>0</v>
      </c>
      <c r="AI43" s="1767"/>
      <c r="AJ43" s="1201"/>
      <c r="AK43" s="1201"/>
    </row>
    <row r="44" spans="1:67" ht="15.75">
      <c r="A44" s="2134" t="s">
        <v>286</v>
      </c>
      <c r="B44" s="1212" t="s">
        <v>166</v>
      </c>
      <c r="C44" s="1213">
        <f>COUNTIF(Мероприятия_план!$AC$91:$AC$92,C4)</f>
        <v>0</v>
      </c>
      <c r="D44" s="1213">
        <f>COUNTIF(Мероприятия_план!$AC$91:$AC$92,D4)</f>
        <v>0</v>
      </c>
      <c r="E44" s="1213">
        <f>COUNTIF(Мероприятия_план!$AC$91:$AC$92,E4)</f>
        <v>0</v>
      </c>
      <c r="F44" s="1213">
        <f>COUNTIF(Мероприятия_план!$AC$91:$AC$92,F4)</f>
        <v>0</v>
      </c>
      <c r="G44" s="1213">
        <f>COUNTIF(Мероприятия_план!$AC$91:$AC$92,G4)</f>
        <v>0</v>
      </c>
      <c r="H44" s="1213">
        <f>COUNTIF(Мероприятия_план!$AC$91:$AC$92,H4)</f>
        <v>0</v>
      </c>
      <c r="I44" s="1213">
        <f>COUNTIF(Мероприятия_план!$AC$91:$AC$92,I4)</f>
        <v>0</v>
      </c>
      <c r="J44" s="1213">
        <f>COUNTIF(Мероприятия_план!$AC$91:$AC$92,J4)</f>
        <v>0</v>
      </c>
      <c r="K44" s="1213">
        <f>COUNTIF(Мероприятия_план!$AC$91:$AC$92,K4)</f>
        <v>0</v>
      </c>
      <c r="L44" s="1213">
        <f>COUNTIF(Мероприятия_план!$AC$91:$AC$92,L4)</f>
        <v>0</v>
      </c>
      <c r="M44" s="1213">
        <f>COUNTIF(Мероприятия_план!$AC$91:$AC$92,M4)</f>
        <v>0</v>
      </c>
      <c r="N44" s="1213">
        <f>COUNTIF(Мероприятия_план!$AC$91:$AC$92,N4)</f>
        <v>0</v>
      </c>
      <c r="O44" s="1213">
        <f>COUNTIF(Мероприятия_план!$AC$91:$AC$92,O4)</f>
        <v>0</v>
      </c>
      <c r="P44" s="1213">
        <f>COUNTIF(Мероприятия_план!$AC$91:$AC$92,P4)</f>
        <v>0</v>
      </c>
      <c r="Q44" s="1213">
        <f>COUNTIF(Мероприятия_план!$AC$91:$AC$92,Q4)</f>
        <v>0</v>
      </c>
      <c r="R44" s="1213">
        <f>COUNTIF(Мероприятия_план!$AC$91:$AC$92,R4)</f>
        <v>0</v>
      </c>
      <c r="S44" s="1213">
        <f>COUNTIF(Мероприятия_план!$AC$91:$AC$92,S4)</f>
        <v>0</v>
      </c>
      <c r="T44" s="1213">
        <f>COUNTIF(Мероприятия_план!$AC$91:$AC$92,T4)</f>
        <v>0</v>
      </c>
      <c r="U44" s="1213">
        <f>COUNTIF(Мероприятия_план!$AC$91:$AC$92,U4)</f>
        <v>0</v>
      </c>
      <c r="V44" s="1213">
        <f>COUNTIF(Мероприятия_план!$AC$91:$AC$92,V4)</f>
        <v>0</v>
      </c>
      <c r="W44" s="1213">
        <f>COUNTIF(Мероприятия_план!$AC$91:$AC$92,W4)</f>
        <v>0</v>
      </c>
      <c r="X44" s="1213">
        <f>COUNTIF(Мероприятия_план!$AC$91:$AC$92,X4)</f>
        <v>0</v>
      </c>
      <c r="Y44" s="1213">
        <f>COUNTIF(Мероприятия_план!$AC$91:$AC$92,Y4)</f>
        <v>0</v>
      </c>
      <c r="Z44" s="1213">
        <f>COUNTIF(Мероприятия_план!$AC$91:$AC$92,Z4)</f>
        <v>0</v>
      </c>
      <c r="AA44" s="1213">
        <f>COUNTIF(Мероприятия_план!$AC$91:$AC$92,AA4)</f>
        <v>0</v>
      </c>
      <c r="AB44" s="1213">
        <f>COUNTIF(Мероприятия_план!$AC$91:$AC$92,AB4)</f>
        <v>0</v>
      </c>
      <c r="AC44" s="1213">
        <f>COUNTIF(Мероприятия_план!$AC$91:$AC$92,AC4)</f>
        <v>0</v>
      </c>
      <c r="AD44" s="1213">
        <f>COUNTIF(Мероприятия_план!$AC$91:$AC$92,AD4)</f>
        <v>0</v>
      </c>
      <c r="AE44" s="1213"/>
      <c r="AF44" s="1213"/>
      <c r="AG44" s="1213"/>
      <c r="AH44" s="1762">
        <f t="shared" si="8"/>
        <v>0</v>
      </c>
      <c r="AI44" s="1767"/>
      <c r="AJ44" s="1201"/>
      <c r="AK44" s="1201"/>
    </row>
    <row r="45" spans="1:67" ht="15.75">
      <c r="A45" s="2134"/>
      <c r="B45" s="1212" t="s">
        <v>142</v>
      </c>
      <c r="C45" s="1216">
        <f>SUMIF(Мероприятия_план!$AC$91:$AC$92,C4,Мероприятия_план!$S$91:$S$92)</f>
        <v>0</v>
      </c>
      <c r="D45" s="1216">
        <f>SUMIF(Мероприятия_план!$AC$91:$AC$92,D4,Мероприятия_план!$S$91:$S$92)</f>
        <v>0</v>
      </c>
      <c r="E45" s="1216">
        <f>SUMIF(Мероприятия_план!$AC$91:$AC$92,E4,Мероприятия_план!$S$91:$S$92)</f>
        <v>0</v>
      </c>
      <c r="F45" s="1216">
        <f>SUMIF(Мероприятия_план!$AC$91:$AC$92,F4,Мероприятия_план!$S$91:$S$92)</f>
        <v>0</v>
      </c>
      <c r="G45" s="1216">
        <f>SUMIF(Мероприятия_план!$AC$91:$AC$92,G4,Мероприятия_план!$S$91:$S$92)</f>
        <v>0</v>
      </c>
      <c r="H45" s="1216">
        <f>SUMIF(Мероприятия_план!$AC$91:$AC$92,H4,Мероприятия_план!$S$91:$S$92)</f>
        <v>0</v>
      </c>
      <c r="I45" s="1216">
        <f>SUMIF(Мероприятия_план!$AC$91:$AC$92,I4,Мероприятия_план!$S$91:$S$92)</f>
        <v>0</v>
      </c>
      <c r="J45" s="1216">
        <f>SUMIF(Мероприятия_план!$AC$91:$AC$92,J4,Мероприятия_план!$S$91:$S$92)</f>
        <v>0</v>
      </c>
      <c r="K45" s="1216">
        <f>SUMIF(Мероприятия_план!$AC$91:$AC$92,K4,Мероприятия_план!$S$91:$S$92)</f>
        <v>0</v>
      </c>
      <c r="L45" s="1216">
        <f>SUMIF(Мероприятия_план!$AC$91:$AC$92,L4,Мероприятия_план!$S$91:$S$92)</f>
        <v>0</v>
      </c>
      <c r="M45" s="1216">
        <f>SUMIF(Мероприятия_план!$AC$91:$AC$92,M4,Мероприятия_план!$S$91:$S$92)</f>
        <v>0</v>
      </c>
      <c r="N45" s="1216">
        <f>SUMIF(Мероприятия_план!$AC$91:$AC$92,N4,Мероприятия_план!$S$91:$S$92)</f>
        <v>0</v>
      </c>
      <c r="O45" s="1216">
        <f>SUMIF(Мероприятия_план!$AC$91:$AC$92,O4,Мероприятия_план!$S$91:$S$92)</f>
        <v>0</v>
      </c>
      <c r="P45" s="1216">
        <f>SUMIF(Мероприятия_план!$AC$91:$AC$92,P4,Мероприятия_план!$S$91:$S$92)</f>
        <v>0</v>
      </c>
      <c r="Q45" s="1216">
        <f>SUMIF(Мероприятия_план!$AC$91:$AC$92,Q4,Мероприятия_план!$S$91:$S$92)</f>
        <v>0</v>
      </c>
      <c r="R45" s="1216">
        <f>SUMIF(Мероприятия_план!$AC$91:$AC$92,R4,Мероприятия_план!$S$91:$S$92)</f>
        <v>0</v>
      </c>
      <c r="S45" s="1216">
        <f>SUMIF(Мероприятия_план!$AC$91:$AC$92,S4,Мероприятия_план!$S$91:$S$92)</f>
        <v>0</v>
      </c>
      <c r="T45" s="1216">
        <f>SUMIF(Мероприятия_план!$AC$91:$AC$92,T4,Мероприятия_план!$S$91:$S$92)</f>
        <v>0</v>
      </c>
      <c r="U45" s="1216">
        <f>SUMIF(Мероприятия_план!$AC$91:$AC$92,U4,Мероприятия_план!$S$91:$S$92)</f>
        <v>0</v>
      </c>
      <c r="V45" s="1216">
        <f>SUMIF(Мероприятия_план!$AC$91:$AC$92,V4,Мероприятия_план!$S$91:$S$92)</f>
        <v>0</v>
      </c>
      <c r="W45" s="1216">
        <f>SUMIF(Мероприятия_план!$AC$91:$AC$92,W4,Мероприятия_план!$S$91:$S$92)</f>
        <v>0</v>
      </c>
      <c r="X45" s="1216">
        <f>SUMIF(Мероприятия_план!$AC$91:$AC$92,X4,Мероприятия_план!$S$91:$S$92)</f>
        <v>0</v>
      </c>
      <c r="Y45" s="1216">
        <f>SUMIF(Мероприятия_план!$AC$91:$AC$92,Y4,Мероприятия_план!$S$91:$S$92)</f>
        <v>0</v>
      </c>
      <c r="Z45" s="1216">
        <f>SUMIF(Мероприятия_план!$AC$91:$AC$92,Z4,Мероприятия_план!$S$91:$S$92)</f>
        <v>0</v>
      </c>
      <c r="AA45" s="1216">
        <f>SUMIF(Мероприятия_план!$AC$91:$AC$92,AA4,Мероприятия_план!$S$91:$S$92)</f>
        <v>0</v>
      </c>
      <c r="AB45" s="1216">
        <f>SUMIF(Мероприятия_план!$AC$91:$AC$92,AB4,Мероприятия_план!$S$91:$S$92)</f>
        <v>0</v>
      </c>
      <c r="AC45" s="1216">
        <f>SUMIF(Мероприятия_план!$AC$91:$AC$92,AC4,Мероприятия_план!$S$91:$S$92)</f>
        <v>0</v>
      </c>
      <c r="AD45" s="1216">
        <f>SUMIF(Мероприятия_план!$AC$91:$AC$92,AD4,Мероприятия_план!$S$91:$S$92)</f>
        <v>0</v>
      </c>
      <c r="AE45" s="1216"/>
      <c r="AF45" s="1216"/>
      <c r="AG45" s="1216"/>
      <c r="AH45" s="1762">
        <f t="shared" si="8"/>
        <v>0</v>
      </c>
      <c r="AI45" s="1767"/>
      <c r="AJ45" s="1201"/>
      <c r="AK45" s="1201"/>
    </row>
    <row r="46" spans="1:67" ht="15.75">
      <c r="A46" s="2134" t="s">
        <v>85</v>
      </c>
      <c r="B46" s="1212" t="s">
        <v>166</v>
      </c>
      <c r="C46" s="1213">
        <f>COUNTIF(Мероприятия_план!$AC$48:$AC$51,C4)+COUNTIF(Мероприятия_план!$AC$64:$AC$69,C4)+COUNTIF(Мероприятия_план!$AC$82:$AC$86,C4)+COUNTIF(Мероприятия_план!$AC$91:$AC$92,C4)+COUNTIF(Мероприятия_план!$AC$96:$AC$101,C4)+COUNTIF(Мероприятия_план!$AC$123:$AC$127,C4)+COUNTIF(Мероприятия_план!$AC$166:$AC$172,C4)</f>
        <v>0</v>
      </c>
      <c r="D46" s="1213">
        <f>COUNTIF(Мероприятия_план!$AC$48:$AC$51,D4)+COUNTIF(Мероприятия_план!$AC$64:$AC$69,D4)+COUNTIF(Мероприятия_план!$AC$82:$AC$86,D4)+COUNTIF(Мероприятия_план!$AC$91:$AC$92,D4)+COUNTIF(Мероприятия_план!$AC$96:$AC$101,D4)+COUNTIF(Мероприятия_план!$AC$123:$AC$127,D4)+COUNTIF(Мероприятия_план!$AC$166:$AC$172,D4)</f>
        <v>0</v>
      </c>
      <c r="E46" s="1213">
        <f>COUNTIF(Мероприятия_план!$AC$48:$AC$51,E4)+COUNTIF(Мероприятия_план!$AC$64:$AC$69,E4)+COUNTIF(Мероприятия_план!$AC$82:$AC$86,E4)+COUNTIF(Мероприятия_план!$AC$91:$AC$92,E4)+COUNTIF(Мероприятия_план!$AC$96:$AC$101,E4)+COUNTIF(Мероприятия_план!$AC$123:$AC$127,E4)+COUNTIF(Мероприятия_план!$AC$166:$AC$172,E4)</f>
        <v>0</v>
      </c>
      <c r="F46" s="1213">
        <f>COUNTIF(Мероприятия_план!$AC$48:$AC$51,F4)+COUNTIF(Мероприятия_план!$AC$64:$AC$69,F4)+COUNTIF(Мероприятия_план!$AC$82:$AC$86,F4)+COUNTIF(Мероприятия_план!$AC$91:$AC$92,F4)+COUNTIF(Мероприятия_план!$AC$96:$AC$101,F4)+COUNTIF(Мероприятия_план!$AC$123:$AC$127,F4)+COUNTIF(Мероприятия_план!$AC$166:$AC$172,F4)</f>
        <v>0</v>
      </c>
      <c r="G46" s="1213">
        <f>COUNTIF(Мероприятия_план!$AC$48:$AC$51,G4)+COUNTIF(Мероприятия_план!$AC$64:$AC$69,G4)+COUNTIF(Мероприятия_план!$AC$82:$AC$86,G4)+COUNTIF(Мероприятия_план!$AC$91:$AC$92,G4)+COUNTIF(Мероприятия_план!$AC$96:$AC$101,G4)+COUNTIF(Мероприятия_план!$AC$123:$AC$127,G4)+COUNTIF(Мероприятия_план!$AC$166:$AC$172,G4)</f>
        <v>0</v>
      </c>
      <c r="H46" s="1213">
        <f>COUNTIF(Мероприятия_план!$AC$48:$AC$51,H4)+COUNTIF(Мероприятия_план!$AC$64:$AC$69,H4)+COUNTIF(Мероприятия_план!$AC$82:$AC$86,H4)+COUNTIF(Мероприятия_план!$AC$91:$AC$92,H4)+COUNTIF(Мероприятия_план!$AC$96:$AC$101,H4)+COUNTIF(Мероприятия_план!$AC$123:$AC$127,H4)+COUNTIF(Мероприятия_план!$AC$166:$AC$172,H4)</f>
        <v>0</v>
      </c>
      <c r="I46" s="1213">
        <f>COUNTIF(Мероприятия_план!$AC$48:$AC$51,I4)+COUNTIF(Мероприятия_план!$AC$64:$AC$69,I4)+COUNTIF(Мероприятия_план!$AC$82:$AC$86,I4)+COUNTIF(Мероприятия_план!$AC$91:$AC$92,I4)+COUNTIF(Мероприятия_план!$AC$96:$AC$101,I4)+COUNTIF(Мероприятия_план!$AC$123:$AC$127,I4)+COUNTIF(Мероприятия_план!$AC$166:$AC$172,I4)</f>
        <v>0</v>
      </c>
      <c r="J46" s="1213">
        <f>COUNTIF(Мероприятия_план!$AC$48:$AC$51,J4)+COUNTIF(Мероприятия_план!$AC$64:$AC$69,J4)+COUNTIF(Мероприятия_план!$AC$82:$AC$86,J4)+COUNTIF(Мероприятия_план!$AC$91:$AC$92,J4)+COUNTIF(Мероприятия_план!$AC$96:$AC$101,J4)+COUNTIF(Мероприятия_план!$AC$123:$AC$127,J4)+COUNTIF(Мероприятия_план!$AC$166:$AC$172,J4)</f>
        <v>1</v>
      </c>
      <c r="K46" s="1213">
        <f>COUNTIF(Мероприятия_план!$AC$48:$AC$51,K4)+COUNTIF(Мероприятия_план!$AC$64:$AC$69,K4)+COUNTIF(Мероприятия_план!$AC$82:$AC$86,K4)+COUNTIF(Мероприятия_план!$AC$91:$AC$92,K4)+COUNTIF(Мероприятия_план!$AC$96:$AC$101,K4)+COUNTIF(Мероприятия_план!$AC$123:$AC$127,K4)+COUNTIF(Мероприятия_план!$AC$166:$AC$172,K4)</f>
        <v>0</v>
      </c>
      <c r="L46" s="1213">
        <f>COUNTIF(Мероприятия_план!$AC$48:$AC$51,L4)+COUNTIF(Мероприятия_план!$AC$64:$AC$69,L4)+COUNTIF(Мероприятия_план!$AC$82:$AC$86,L4)+COUNTIF(Мероприятия_план!$AC$91:$AC$92,L4)+COUNTIF(Мероприятия_план!$AC$96:$AC$101,L4)+COUNTIF(Мероприятия_план!$AC$123:$AC$127,L4)+COUNTIF(Мероприятия_план!$AC$166:$AC$172,L4)</f>
        <v>0</v>
      </c>
      <c r="M46" s="1213">
        <f>COUNTIF(Мероприятия_план!$AC$48:$AC$51,M4)+COUNTIF(Мероприятия_план!$AC$64:$AC$69,M4)+COUNTIF(Мероприятия_план!$AC$82:$AC$86,M4)+COUNTIF(Мероприятия_план!$AC$91:$AC$92,M4)+COUNTIF(Мероприятия_план!$AC$96:$AC$101,M4)+COUNTIF(Мероприятия_план!$AC$123:$AC$127,M4)+COUNTIF(Мероприятия_план!$AC$166:$AC$172,M4)</f>
        <v>0</v>
      </c>
      <c r="N46" s="1213">
        <f>COUNTIF(Мероприятия_план!$AC$48:$AC$51,N4)+COUNTIF(Мероприятия_план!$AC$64:$AC$69,N4)+COUNTIF(Мероприятия_план!$AC$82:$AC$86,N4)+COUNTIF(Мероприятия_план!$AC$91:$AC$92,N4)+COUNTIF(Мероприятия_план!$AC$96:$AC$101,N4)+COUNTIF(Мероприятия_план!$AC$123:$AC$127,N4)+COUNTIF(Мероприятия_план!$AC$166:$AC$172,N4)</f>
        <v>0</v>
      </c>
      <c r="O46" s="1213">
        <f>COUNTIF(Мероприятия_план!$AC$48:$AC$51,O4)+COUNTIF(Мероприятия_план!$AC$64:$AC$69,O4)+COUNTIF(Мероприятия_план!$AC$82:$AC$86,O4)+COUNTIF(Мероприятия_план!$AC$91:$AC$92,O4)+COUNTIF(Мероприятия_план!$AC$96:$AC$101,O4)+COUNTIF(Мероприятия_план!$AC$123:$AC$127,O4)+COUNTIF(Мероприятия_план!$AC$166:$AC$172,O4)</f>
        <v>0</v>
      </c>
      <c r="P46" s="1213">
        <f>COUNTIF(Мероприятия_план!$AC$48:$AC$51,P4)+COUNTIF(Мероприятия_план!$AC$64:$AC$69,P4)+COUNTIF(Мероприятия_план!$AC$82:$AC$86,P4)+COUNTIF(Мероприятия_план!$AC$91:$AC$92,P4)+COUNTIF(Мероприятия_план!$AC$96:$AC$101,P4)+COUNTIF(Мероприятия_план!$AC$123:$AC$127,P4)+COUNTIF(Мероприятия_план!$AC$166:$AC$172,P4)</f>
        <v>0</v>
      </c>
      <c r="Q46" s="1213">
        <f>COUNTIF(Мероприятия_план!$AC$48:$AC$51,Q4)+COUNTIF(Мероприятия_план!$AC$64:$AC$69,Q4)+COUNTIF(Мероприятия_план!$AC$82:$AC$86,Q4)+COUNTIF(Мероприятия_план!$AC$91:$AC$92,Q4)+COUNTIF(Мероприятия_план!$AC$96:$AC$101,Q4)+COUNTIF(Мероприятия_план!$AC$123:$AC$127,Q4)+COUNTIF(Мероприятия_план!$AC$166:$AC$172,Q4)</f>
        <v>0</v>
      </c>
      <c r="R46" s="1213">
        <f>COUNTIF(Мероприятия_план!$AC$48:$AC$51,R4)+COUNTIF(Мероприятия_план!$AC$64:$AC$69,R4)+COUNTIF(Мероприятия_план!$AC$82:$AC$86,R4)+COUNTIF(Мероприятия_план!$AC$91:$AC$92,R4)+COUNTIF(Мероприятия_план!$AC$96:$AC$101,R4)+COUNTIF(Мероприятия_план!$AC$123:$AC$127,R4)+COUNTIF(Мероприятия_план!$AC$166:$AC$172,R4)</f>
        <v>0</v>
      </c>
      <c r="S46" s="1213">
        <f>COUNTIF(Мероприятия_план!$AC$48:$AC$51,S4)+COUNTIF(Мероприятия_план!$AC$64:$AC$69,S4)+COUNTIF(Мероприятия_план!$AC$82:$AC$86,S4)+COUNTIF(Мероприятия_план!$AC$91:$AC$92,S4)+COUNTIF(Мероприятия_план!$AC$96:$AC$101,S4)+COUNTIF(Мероприятия_план!$AC$123:$AC$127,S4)+COUNTIF(Мероприятия_план!$AC$166:$AC$172,S4)</f>
        <v>0</v>
      </c>
      <c r="T46" s="1213">
        <f>COUNTIF(Мероприятия_план!$AC$48:$AC$51,T4)+COUNTIF(Мероприятия_план!$AC$64:$AC$69,T4)+COUNTIF(Мероприятия_план!$AC$82:$AC$86,T4)+COUNTIF(Мероприятия_план!$AC$91:$AC$92,T4)+COUNTIF(Мероприятия_план!$AC$96:$AC$101,T4)+COUNTIF(Мероприятия_план!$AC$123:$AC$127,T4)+COUNTIF(Мероприятия_план!$AC$166:$AC$172,T4)</f>
        <v>0</v>
      </c>
      <c r="U46" s="1213">
        <f>COUNTIF(Мероприятия_план!$AC$48:$AC$51,U4)+COUNTIF(Мероприятия_план!$AC$64:$AC$69,U4)+COUNTIF(Мероприятия_план!$AC$82:$AC$86,U4)+COUNTIF(Мероприятия_план!$AC$91:$AC$92,U4)+COUNTIF(Мероприятия_план!$AC$96:$AC$101,U4)+COUNTIF(Мероприятия_план!$AC$123:$AC$127,U4)+COUNTIF(Мероприятия_план!$AC$166:$AC$172,U4)</f>
        <v>0</v>
      </c>
      <c r="V46" s="1213">
        <f>COUNTIF(Мероприятия_план!$AC$48:$AC$51,V4)+COUNTIF(Мероприятия_план!$AC$64:$AC$69,V4)+COUNTIF(Мероприятия_план!$AC$82:$AC$86,V4)+COUNTIF(Мероприятия_план!$AC$91:$AC$92,V4)+COUNTIF(Мероприятия_план!$AC$96:$AC$101,V4)+COUNTIF(Мероприятия_план!$AC$123:$AC$127,V4)+COUNTIF(Мероприятия_план!$AC$166:$AC$172,V4)</f>
        <v>1</v>
      </c>
      <c r="W46" s="1213">
        <f>COUNTIF(Мероприятия_план!$AC$48:$AC$51,W4)+COUNTIF(Мероприятия_план!$AC$64:$AC$69,W4)+COUNTIF(Мероприятия_план!$AC$82:$AC$86,W4)+COUNTIF(Мероприятия_план!$AC$91:$AC$92,W4)+COUNTIF(Мероприятия_план!$AC$96:$AC$101,W4)+COUNTIF(Мероприятия_план!$AC$123:$AC$127,W4)+COUNTIF(Мероприятия_план!$AC$166:$AC$172,W4)</f>
        <v>0</v>
      </c>
      <c r="X46" s="1213">
        <f>COUNTIF(Мероприятия_план!$AC$48:$AC$51,X4)+COUNTIF(Мероприятия_план!$AC$64:$AC$69,X4)+COUNTIF(Мероприятия_план!$AC$82:$AC$86,X4)+COUNTIF(Мероприятия_план!$AC$91:$AC$92,X4)+COUNTIF(Мероприятия_план!$AC$96:$AC$101,X4)+COUNTIF(Мероприятия_план!$AC$123:$AC$127,X4)+COUNTIF(Мероприятия_план!$AC$166:$AC$172,X4)</f>
        <v>0</v>
      </c>
      <c r="Y46" s="1213">
        <f>COUNTIF(Мероприятия_план!$AC$48:$AC$51,Y4)+COUNTIF(Мероприятия_план!$AC$64:$AC$69,Y4)+COUNTIF(Мероприятия_план!$AC$82:$AC$86,Y4)+COUNTIF(Мероприятия_план!$AC$91:$AC$92,Y4)+COUNTIF(Мероприятия_план!$AC$96:$AC$101,Y4)+COUNTIF(Мероприятия_план!$AC$123:$AC$127,Y4)+COUNTIF(Мероприятия_план!$AC$166:$AC$172,Y4)</f>
        <v>0</v>
      </c>
      <c r="Z46" s="1213">
        <f>COUNTIF(Мероприятия_план!$AC$48:$AC$51,Z4)+COUNTIF(Мероприятия_план!$AC$64:$AC$69,Z4)+COUNTIF(Мероприятия_план!$AC$82:$AC$86,Z4)+COUNTIF(Мероприятия_план!$AC$91:$AC$92,Z4)+COUNTIF(Мероприятия_план!$AC$96:$AC$101,Z4)+COUNTIF(Мероприятия_план!$AC$123:$AC$127,Z4)+COUNTIF(Мероприятия_план!$AC$166:$AC$172,Z4)</f>
        <v>0</v>
      </c>
      <c r="AA46" s="1213">
        <f>COUNTIF(Мероприятия_план!$AC$48:$AC$51,AA4)+COUNTIF(Мероприятия_план!$AC$64:$AC$69,AA4)+COUNTIF(Мероприятия_план!$AC$82:$AC$86,AA4)+COUNTIF(Мероприятия_план!$AC$91:$AC$92,AA4)+COUNTIF(Мероприятия_план!$AC$96:$AC$101,AA4)+COUNTIF(Мероприятия_план!$AC$123:$AC$127,AA4)+COUNTIF(Мероприятия_план!$AC$166:$AC$172,AA4)</f>
        <v>0</v>
      </c>
      <c r="AB46" s="1213">
        <f>COUNTIF(Мероприятия_план!$AC$48:$AC$51,AB4)+COUNTIF(Мероприятия_план!$AC$64:$AC$69,AB4)+COUNTIF(Мероприятия_план!$AC$82:$AC$86,AB4)+COUNTIF(Мероприятия_план!$AC$91:$AC$92,AB4)+COUNTIF(Мероприятия_план!$AC$96:$AC$101,AB4)+COUNTIF(Мероприятия_план!$AC$123:$AC$127,AB4)+COUNTIF(Мероприятия_план!$AC$166:$AC$172,AB4)</f>
        <v>0</v>
      </c>
      <c r="AC46" s="1213">
        <f>COUNTIF(Мероприятия_план!$AC$48:$AC$51,AC4)+COUNTIF(Мероприятия_план!$AC$64:$AC$69,AC4)+COUNTIF(Мероприятия_план!$AC$82:$AC$86,AC4)+COUNTIF(Мероприятия_план!$AC$91:$AC$92,AC4)+COUNTIF(Мероприятия_план!$AC$96:$AC$101,AC4)+COUNTIF(Мероприятия_план!$AC$123:$AC$127,AC4)+COUNTIF(Мероприятия_план!$AC$166:$AC$172,AC4)</f>
        <v>0</v>
      </c>
      <c r="AD46" s="1213">
        <f>COUNTIF(Мероприятия_план!$AC$48:$AC$51,AD4)+COUNTIF(Мероприятия_план!$AC$64:$AC$69,AD4)+COUNTIF(Мероприятия_план!$AC$82:$AC$86,AD4)+COUNTIF(Мероприятия_план!$AC$91:$AC$92,AD4)+COUNTIF(Мероприятия_план!$AC$96:$AC$101,AD4)+COUNTIF(Мероприятия_план!$AC$123:$AC$127,AD4)+COUNTIF(Мероприятия_план!$AC$166:$AC$172,AD4)</f>
        <v>0</v>
      </c>
      <c r="AE46" s="1213"/>
      <c r="AF46" s="1213"/>
      <c r="AG46" s="1213"/>
      <c r="AH46" s="1762">
        <f t="shared" si="8"/>
        <v>2</v>
      </c>
      <c r="AI46" s="1767"/>
      <c r="AJ46" s="1201"/>
      <c r="AK46" s="1201"/>
    </row>
    <row r="47" spans="1:67" ht="15.75">
      <c r="A47" s="2134"/>
      <c r="B47" s="1212" t="s">
        <v>142</v>
      </c>
      <c r="C47" s="1216">
        <f>SUMIF(Мероприятия_план!$AC$48:$AC$51,C4,Мероприятия_план!$S$48:$S$51)+SUMIF(Мероприятия_план!$AC$64:$AC$69,C4,Мероприятия_план!$S$64:$S$69)+SUMIF(Мероприятия_план!$AC$82:$AC$86,C4,Мероприятия_план!$S$82:$S$86)+SUMIF(Мероприятия_план!$AC$91:$AC$92,C4,Мероприятия_план!$S$91:$S$92)+SUMIF(Мероприятия_план!$AC$96:$AC$101,C4,Мероприятия_план!$S$96:$S$101)+SUMIF(Мероприятия_план!$AC$123:$AC$127,C4,Мероприятия_план!$S$123:$S$127)+SUMIF(Мероприятия_план!$AC$166:$AC$172,C4,Мероприятия_план!$S$166:$S$172)</f>
        <v>0</v>
      </c>
      <c r="D47" s="1216">
        <f>SUMIF(Мероприятия_план!$AC$48:$AC$51,D4,Мероприятия_план!$S$48:$S$51)+SUMIF(Мероприятия_план!$AC$64:$AC$69,D4,Мероприятия_план!$S$64:$S$69)+SUMIF(Мероприятия_план!$AC$82:$AC$86,D4,Мероприятия_план!$S$82:$S$86)+SUMIF(Мероприятия_план!$AC$91:$AC$92,D4,Мероприятия_план!$S$91:$S$92)+SUMIF(Мероприятия_план!$AC$96:$AC$101,D4,Мероприятия_план!$S$96:$S$101)+SUMIF(Мероприятия_план!$AC$123:$AC$127,D4,Мероприятия_план!$S$123:$S$127)+SUMIF(Мероприятия_план!$AC$166:$AC$172,D4,Мероприятия_план!$S$166:$S$172)</f>
        <v>0</v>
      </c>
      <c r="E47" s="1216">
        <f>SUMIF(Мероприятия_план!$AC$48:$AC$51,E4,Мероприятия_план!$S$48:$S$51)+SUMIF(Мероприятия_план!$AC$64:$AC$69,E4,Мероприятия_план!$S$64:$S$69)+SUMIF(Мероприятия_план!$AC$82:$AC$86,E4,Мероприятия_план!$S$82:$S$86)+SUMIF(Мероприятия_план!$AC$91:$AC$92,E4,Мероприятия_план!$S$91:$S$92)+SUMIF(Мероприятия_план!$AC$96:$AC$101,E4,Мероприятия_план!$S$96:$S$101)+SUMIF(Мероприятия_план!$AC$123:$AC$127,E4,Мероприятия_план!$S$123:$S$127)+SUMIF(Мероприятия_план!$AC$166:$AC$172,E4,Мероприятия_план!$S$166:$S$172)</f>
        <v>0</v>
      </c>
      <c r="F47" s="1216">
        <f>SUMIF(Мероприятия_план!$AC$48:$AC$51,F4,Мероприятия_план!$S$48:$S$51)+SUMIF(Мероприятия_план!$AC$64:$AC$69,F4,Мероприятия_план!$S$64:$S$69)+SUMIF(Мероприятия_план!$AC$82:$AC$86,F4,Мероприятия_план!$S$82:$S$86)+SUMIF(Мероприятия_план!$AC$91:$AC$92,F4,Мероприятия_план!$S$91:$S$92)+SUMIF(Мероприятия_план!$AC$96:$AC$101,F4,Мероприятия_план!$S$96:$S$101)+SUMIF(Мероприятия_план!$AC$123:$AC$127,F4,Мероприятия_план!$S$123:$S$127)+SUMIF(Мероприятия_план!$AC$166:$AC$172,F4,Мероприятия_план!$S$166:$S$172)</f>
        <v>0</v>
      </c>
      <c r="G47" s="1216">
        <f>SUMIF(Мероприятия_план!$AC$48:$AC$51,G4,Мероприятия_план!$S$48:$S$51)+SUMIF(Мероприятия_план!$AC$64:$AC$69,G4,Мероприятия_план!$S$64:$S$69)+SUMIF(Мероприятия_план!$AC$82:$AC$86,G4,Мероприятия_план!$S$82:$S$86)+SUMIF(Мероприятия_план!$AC$91:$AC$92,G4,Мероприятия_план!$S$91:$S$92)+SUMIF(Мероприятия_план!$AC$96:$AC$101,G4,Мероприятия_план!$S$96:$S$101)+SUMIF(Мероприятия_план!$AC$123:$AC$127,G4,Мероприятия_план!$S$123:$S$127)+SUMIF(Мероприятия_план!$AC$166:$AC$172,G4,Мероприятия_план!$S$166:$S$172)</f>
        <v>0</v>
      </c>
      <c r="H47" s="1216">
        <f>SUMIF(Мероприятия_план!$AC$48:$AC$51,H4,Мероприятия_план!$S$48:$S$51)+SUMIF(Мероприятия_план!$AC$64:$AC$69,H4,Мероприятия_план!$S$64:$S$69)+SUMIF(Мероприятия_план!$AC$82:$AC$86,H4,Мероприятия_план!$S$82:$S$86)+SUMIF(Мероприятия_план!$AC$91:$AC$92,H4,Мероприятия_план!$S$91:$S$92)+SUMIF(Мероприятия_план!$AC$96:$AC$101,H4,Мероприятия_план!$S$96:$S$101)+SUMIF(Мероприятия_план!$AC$123:$AC$127,H4,Мероприятия_план!$S$123:$S$127)+SUMIF(Мероприятия_план!$AC$166:$AC$172,H4,Мероприятия_план!$S$166:$S$172)</f>
        <v>0</v>
      </c>
      <c r="I47" s="1216">
        <f>SUMIF(Мероприятия_план!$AC$48:$AC$51,I4,Мероприятия_план!$S$48:$S$51)+SUMIF(Мероприятия_план!$AC$64:$AC$69,I4,Мероприятия_план!$S$64:$S$69)+SUMIF(Мероприятия_план!$AC$82:$AC$86,I4,Мероприятия_план!$S$82:$S$86)+SUMIF(Мероприятия_план!$AC$91:$AC$92,I4,Мероприятия_план!$S$91:$S$92)+SUMIF(Мероприятия_план!$AC$96:$AC$101,I4,Мероприятия_план!$S$96:$S$101)+SUMIF(Мероприятия_план!$AC$123:$AC$127,I4,Мероприятия_план!$S$123:$S$127)+SUMIF(Мероприятия_план!$AC$166:$AC$172,I4,Мероприятия_план!$S$166:$S$172)</f>
        <v>0</v>
      </c>
      <c r="J47" s="1216">
        <f>SUMIF(Мероприятия_план!$AC$48:$AC$51,J4,Мероприятия_план!$S$48:$S$51)+SUMIF(Мероприятия_план!$AC$64:$AC$69,J4,Мероприятия_план!$S$64:$S$69)+SUMIF(Мероприятия_план!$AC$82:$AC$86,J4,Мероприятия_план!$S$82:$S$86)+SUMIF(Мероприятия_план!$AC$91:$AC$92,J4,Мероприятия_план!$S$91:$S$92)+SUMIF(Мероприятия_план!$AC$96:$AC$101,J4,Мероприятия_план!$S$96:$S$101)+SUMIF(Мероприятия_план!$AC$123:$AC$127,J4,Мероприятия_план!$S$123:$S$127)+SUMIF(Мероприятия_план!$AC$166:$AC$172,J4,Мероприятия_план!$S$166:$S$172)</f>
        <v>8</v>
      </c>
      <c r="K47" s="1216">
        <f>SUMIF(Мероприятия_план!$AC$48:$AC$51,K4,Мероприятия_план!$S$48:$S$51)+SUMIF(Мероприятия_план!$AC$64:$AC$69,K4,Мероприятия_план!$S$64:$S$69)+SUMIF(Мероприятия_план!$AC$82:$AC$86,K4,Мероприятия_план!$S$82:$S$86)+SUMIF(Мероприятия_план!$AC$91:$AC$92,K4,Мероприятия_план!$S$91:$S$92)+SUMIF(Мероприятия_план!$AC$96:$AC$101,K4,Мероприятия_план!$S$96:$S$101)+SUMIF(Мероприятия_план!$AC$123:$AC$127,K4,Мероприятия_план!$S$123:$S$127)+SUMIF(Мероприятия_план!$AC$166:$AC$172,K4,Мероприятия_план!$S$166:$S$172)</f>
        <v>0</v>
      </c>
      <c r="L47" s="1216">
        <f>SUMIF(Мероприятия_план!$AC$48:$AC$51,L4,Мероприятия_план!$S$48:$S$51)+SUMIF(Мероприятия_план!$AC$64:$AC$69,L4,Мероприятия_план!$S$64:$S$69)+SUMIF(Мероприятия_план!$AC$82:$AC$86,L4,Мероприятия_план!$S$82:$S$86)+SUMIF(Мероприятия_план!$AC$91:$AC$92,L4,Мероприятия_план!$S$91:$S$92)+SUMIF(Мероприятия_план!$AC$96:$AC$101,L4,Мероприятия_план!$S$96:$S$101)+SUMIF(Мероприятия_план!$AC$123:$AC$127,L4,Мероприятия_план!$S$123:$S$127)+SUMIF(Мероприятия_план!$AC$166:$AC$172,L4,Мероприятия_план!$S$166:$S$172)</f>
        <v>0</v>
      </c>
      <c r="M47" s="1216">
        <f>SUMIF(Мероприятия_план!$AC$48:$AC$51,M4,Мероприятия_план!$S$48:$S$51)+SUMIF(Мероприятия_план!$AC$64:$AC$69,M4,Мероприятия_план!$S$64:$S$69)+SUMIF(Мероприятия_план!$AC$82:$AC$86,M4,Мероприятия_план!$S$82:$S$86)+SUMIF(Мероприятия_план!$AC$91:$AC$92,M4,Мероприятия_план!$S$91:$S$92)+SUMIF(Мероприятия_план!$AC$96:$AC$101,M4,Мероприятия_план!$S$96:$S$101)+SUMIF(Мероприятия_план!$AC$123:$AC$127,M4,Мероприятия_план!$S$123:$S$127)+SUMIF(Мероприятия_план!$AC$166:$AC$172,M4,Мероприятия_план!$S$166:$S$172)</f>
        <v>0</v>
      </c>
      <c r="N47" s="1216">
        <f>SUMIF(Мероприятия_план!$AC$48:$AC$51,N4,Мероприятия_план!$S$48:$S$51)+SUMIF(Мероприятия_план!$AC$64:$AC$69,N4,Мероприятия_план!$S$64:$S$69)+SUMIF(Мероприятия_план!$AC$82:$AC$86,N4,Мероприятия_план!$S$82:$S$86)+SUMIF(Мероприятия_план!$AC$91:$AC$92,N4,Мероприятия_план!$S$91:$S$92)+SUMIF(Мероприятия_план!$AC$96:$AC$101,N4,Мероприятия_план!$S$96:$S$101)+SUMIF(Мероприятия_план!$AC$123:$AC$127,N4,Мероприятия_план!$S$123:$S$127)+SUMIF(Мероприятия_план!$AC$166:$AC$172,N4,Мероприятия_план!$S$166:$S$172)</f>
        <v>0</v>
      </c>
      <c r="O47" s="1216">
        <f>SUMIF(Мероприятия_план!$AC$48:$AC$51,O4,Мероприятия_план!$S$48:$S$51)+SUMIF(Мероприятия_план!$AC$64:$AC$69,O4,Мероприятия_план!$S$64:$S$69)+SUMIF(Мероприятия_план!$AC$82:$AC$86,O4,Мероприятия_план!$S$82:$S$86)+SUMIF(Мероприятия_план!$AC$91:$AC$92,O4,Мероприятия_план!$S$91:$S$92)+SUMIF(Мероприятия_план!$AC$96:$AC$101,O4,Мероприятия_план!$S$96:$S$101)+SUMIF(Мероприятия_план!$AC$123:$AC$127,O4,Мероприятия_план!$S$123:$S$127)+SUMIF(Мероприятия_план!$AC$166:$AC$172,O4,Мероприятия_план!$S$166:$S$172)</f>
        <v>0</v>
      </c>
      <c r="P47" s="1216">
        <f>SUMIF(Мероприятия_план!$AC$48:$AC$51,P4,Мероприятия_план!$S$48:$S$51)+SUMIF(Мероприятия_план!$AC$64:$AC$69,P4,Мероприятия_план!$S$64:$S$69)+SUMIF(Мероприятия_план!$AC$82:$AC$86,P4,Мероприятия_план!$S$82:$S$86)+SUMIF(Мероприятия_план!$AC$91:$AC$92,P4,Мероприятия_план!$S$91:$S$92)+SUMIF(Мероприятия_план!$AC$96:$AC$101,P4,Мероприятия_план!$S$96:$S$101)+SUMIF(Мероприятия_план!$AC$123:$AC$127,P4,Мероприятия_план!$S$123:$S$127)+SUMIF(Мероприятия_план!$AC$166:$AC$172,P4,Мероприятия_план!$S$166:$S$172)</f>
        <v>0</v>
      </c>
      <c r="Q47" s="1216">
        <f>SUMIF(Мероприятия_план!$AC$48:$AC$51,Q4,Мероприятия_план!$S$48:$S$51)+SUMIF(Мероприятия_план!$AC$64:$AC$69,Q4,Мероприятия_план!$S$64:$S$69)+SUMIF(Мероприятия_план!$AC$82:$AC$86,Q4,Мероприятия_план!$S$82:$S$86)+SUMIF(Мероприятия_план!$AC$91:$AC$92,Q4,Мероприятия_план!$S$91:$S$92)+SUMIF(Мероприятия_план!$AC$96:$AC$101,Q4,Мероприятия_план!$S$96:$S$101)+SUMIF(Мероприятия_план!$AC$123:$AC$127,Q4,Мероприятия_план!$S$123:$S$127)+SUMIF(Мероприятия_план!$AC$166:$AC$172,Q4,Мероприятия_план!$S$166:$S$172)</f>
        <v>0</v>
      </c>
      <c r="R47" s="1216">
        <f>SUMIF(Мероприятия_план!$AC$48:$AC$51,R4,Мероприятия_план!$S$48:$S$51)+SUMIF(Мероприятия_план!$AC$64:$AC$69,R4,Мероприятия_план!$S$64:$S$69)+SUMIF(Мероприятия_план!$AC$82:$AC$86,R4,Мероприятия_план!$S$82:$S$86)+SUMIF(Мероприятия_план!$AC$91:$AC$92,R4,Мероприятия_план!$S$91:$S$92)+SUMIF(Мероприятия_план!$AC$96:$AC$101,R4,Мероприятия_план!$S$96:$S$101)+SUMIF(Мероприятия_план!$AC$123:$AC$127,R4,Мероприятия_план!$S$123:$S$127)+SUMIF(Мероприятия_план!$AC$166:$AC$172,R4,Мероприятия_план!$S$166:$S$172)</f>
        <v>0</v>
      </c>
      <c r="S47" s="1216">
        <f>SUMIF(Мероприятия_план!$AC$48:$AC$51,S4,Мероприятия_план!$S$48:$S$51)+SUMIF(Мероприятия_план!$AC$64:$AC$69,S4,Мероприятия_план!$S$64:$S$69)+SUMIF(Мероприятия_план!$AC$82:$AC$86,S4,Мероприятия_план!$S$82:$S$86)+SUMIF(Мероприятия_план!$AC$91:$AC$92,S4,Мероприятия_план!$S$91:$S$92)+SUMIF(Мероприятия_план!$AC$96:$AC$101,S4,Мероприятия_план!$S$96:$S$101)+SUMIF(Мероприятия_план!$AC$123:$AC$127,S4,Мероприятия_план!$S$123:$S$127)+SUMIF(Мероприятия_план!$AC$166:$AC$172,S4,Мероприятия_план!$S$166:$S$172)</f>
        <v>0</v>
      </c>
      <c r="T47" s="1216">
        <f>SUMIF(Мероприятия_план!$AC$48:$AC$51,T4,Мероприятия_план!$S$48:$S$51)+SUMIF(Мероприятия_план!$AC$64:$AC$69,T4,Мероприятия_план!$S$64:$S$69)+SUMIF(Мероприятия_план!$AC$82:$AC$86,T4,Мероприятия_план!$S$82:$S$86)+SUMIF(Мероприятия_план!$AC$91:$AC$92,T4,Мероприятия_план!$S$91:$S$92)+SUMIF(Мероприятия_план!$AC$96:$AC$101,T4,Мероприятия_план!$S$96:$S$101)+SUMIF(Мероприятия_план!$AC$123:$AC$127,T4,Мероприятия_план!$S$123:$S$127)+SUMIF(Мероприятия_план!$AC$166:$AC$172,T4,Мероприятия_план!$S$166:$S$172)</f>
        <v>0</v>
      </c>
      <c r="U47" s="1216">
        <f>SUMIF(Мероприятия_план!$AC$48:$AC$51,U4,Мероприятия_план!$S$48:$S$51)+SUMIF(Мероприятия_план!$AC$64:$AC$69,U4,Мероприятия_план!$S$64:$S$69)+SUMIF(Мероприятия_план!$AC$82:$AC$86,U4,Мероприятия_план!$S$82:$S$86)+SUMIF(Мероприятия_план!$AC$91:$AC$92,U4,Мероприятия_план!$S$91:$S$92)+SUMIF(Мероприятия_план!$AC$96:$AC$101,U4,Мероприятия_план!$S$96:$S$101)+SUMIF(Мероприятия_план!$AC$123:$AC$127,U4,Мероприятия_план!$S$123:$S$127)+SUMIF(Мероприятия_план!$AC$166:$AC$172,U4,Мероприятия_план!$S$166:$S$172)</f>
        <v>0</v>
      </c>
      <c r="V47" s="1216">
        <f>SUMIF(Мероприятия_план!$AC$48:$AC$51,V4,Мероприятия_план!$S$48:$S$51)+SUMIF(Мероприятия_план!$AC$64:$AC$69,V4,Мероприятия_план!$S$64:$S$69)+SUMIF(Мероприятия_план!$AC$82:$AC$86,V4,Мероприятия_план!$S$82:$S$86)+SUMIF(Мероприятия_план!$AC$91:$AC$92,V4,Мероприятия_план!$S$91:$S$92)+SUMIF(Мероприятия_план!$AC$96:$AC$101,V4,Мероприятия_план!$S$96:$S$101)+SUMIF(Мероприятия_план!$AC$123:$AC$127,V4,Мероприятия_план!$S$123:$S$127)+SUMIF(Мероприятия_план!$AC$166:$AC$172,V4,Мероприятия_план!$S$166:$S$172)</f>
        <v>27</v>
      </c>
      <c r="W47" s="1216">
        <f>SUMIF(Мероприятия_план!$AC$48:$AC$51,W4,Мероприятия_план!$S$48:$S$51)+SUMIF(Мероприятия_план!$AC$64:$AC$69,W4,Мероприятия_план!$S$64:$S$69)+SUMIF(Мероприятия_план!$AC$82:$AC$86,W4,Мероприятия_план!$S$82:$S$86)+SUMIF(Мероприятия_план!$AC$91:$AC$92,W4,Мероприятия_план!$S$91:$S$92)+SUMIF(Мероприятия_план!$AC$96:$AC$101,W4,Мероприятия_план!$S$96:$S$101)+SUMIF(Мероприятия_план!$AC$123:$AC$127,W4,Мероприятия_план!$S$123:$S$127)+SUMIF(Мероприятия_план!$AC$166:$AC$172,W4,Мероприятия_план!$S$166:$S$172)</f>
        <v>0</v>
      </c>
      <c r="X47" s="1216">
        <f>SUMIF(Мероприятия_план!$AC$48:$AC$51,X4,Мероприятия_план!$S$48:$S$51)+SUMIF(Мероприятия_план!$AC$64:$AC$69,X4,Мероприятия_план!$S$64:$S$69)+SUMIF(Мероприятия_план!$AC$82:$AC$86,X4,Мероприятия_план!$S$82:$S$86)+SUMIF(Мероприятия_план!$AC$91:$AC$92,X4,Мероприятия_план!$S$91:$S$92)+SUMIF(Мероприятия_план!$AC$96:$AC$101,X4,Мероприятия_план!$S$96:$S$101)+SUMIF(Мероприятия_план!$AC$123:$AC$127,X4,Мероприятия_план!$S$123:$S$127)+SUMIF(Мероприятия_план!$AC$166:$AC$172,X4,Мероприятия_план!$S$166:$S$172)</f>
        <v>0</v>
      </c>
      <c r="Y47" s="1216">
        <f>SUMIF(Мероприятия_план!$AC$48:$AC$51,Y4,Мероприятия_план!$S$48:$S$51)+SUMIF(Мероприятия_план!$AC$64:$AC$69,Y4,Мероприятия_план!$S$64:$S$69)+SUMIF(Мероприятия_план!$AC$82:$AC$86,Y4,Мероприятия_план!$S$82:$S$86)+SUMIF(Мероприятия_план!$AC$91:$AC$92,Y4,Мероприятия_план!$S$91:$S$92)+SUMIF(Мероприятия_план!$AC$96:$AC$101,Y4,Мероприятия_план!$S$96:$S$101)+SUMIF(Мероприятия_план!$AC$123:$AC$127,Y4,Мероприятия_план!$S$123:$S$127)+SUMIF(Мероприятия_план!$AC$166:$AC$172,Y4,Мероприятия_план!$S$166:$S$172)</f>
        <v>0</v>
      </c>
      <c r="Z47" s="1216">
        <f>SUMIF(Мероприятия_план!$AC$48:$AC$51,Z4,Мероприятия_план!$S$48:$S$51)+SUMIF(Мероприятия_план!$AC$64:$AC$69,Z4,Мероприятия_план!$S$64:$S$69)+SUMIF(Мероприятия_план!$AC$82:$AC$86,Z4,Мероприятия_план!$S$82:$S$86)+SUMIF(Мероприятия_план!$AC$91:$AC$92,Z4,Мероприятия_план!$S$91:$S$92)+SUMIF(Мероприятия_план!$AC$96:$AC$101,Z4,Мероприятия_план!$S$96:$S$101)+SUMIF(Мероприятия_план!$AC$123:$AC$127,Z4,Мероприятия_план!$S$123:$S$127)+SUMIF(Мероприятия_план!$AC$166:$AC$172,Z4,Мероприятия_план!$S$166:$S$172)</f>
        <v>0</v>
      </c>
      <c r="AA47" s="1216">
        <f>SUMIF(Мероприятия_план!$AC$48:$AC$51,AA4,Мероприятия_план!$S$48:$S$51)+SUMIF(Мероприятия_план!$AC$64:$AC$69,AA4,Мероприятия_план!$S$64:$S$69)+SUMIF(Мероприятия_план!$AC$82:$AC$86,AA4,Мероприятия_план!$S$82:$S$86)+SUMIF(Мероприятия_план!$AC$91:$AC$92,AA4,Мероприятия_план!$S$91:$S$92)+SUMIF(Мероприятия_план!$AC$96:$AC$101,AA4,Мероприятия_план!$S$96:$S$101)+SUMIF(Мероприятия_план!$AC$123:$AC$127,AA4,Мероприятия_план!$S$123:$S$127)+SUMIF(Мероприятия_план!$AC$166:$AC$172,AA4,Мероприятия_план!$S$166:$S$172)</f>
        <v>0</v>
      </c>
      <c r="AB47" s="1216">
        <f>SUMIF(Мероприятия_план!$AC$48:$AC$51,AB4,Мероприятия_план!$S$48:$S$51)+SUMIF(Мероприятия_план!$AC$64:$AC$69,AB4,Мероприятия_план!$S$64:$S$69)+SUMIF(Мероприятия_план!$AC$82:$AC$86,AB4,Мероприятия_план!$S$82:$S$86)+SUMIF(Мероприятия_план!$AC$91:$AC$92,AB4,Мероприятия_план!$S$91:$S$92)+SUMIF(Мероприятия_план!$AC$96:$AC$101,AB4,Мероприятия_план!$S$96:$S$101)+SUMIF(Мероприятия_план!$AC$123:$AC$127,AB4,Мероприятия_план!$S$123:$S$127)+SUMIF(Мероприятия_план!$AC$166:$AC$172,AB4,Мероприятия_план!$S$166:$S$172)</f>
        <v>0</v>
      </c>
      <c r="AC47" s="1216">
        <f>SUMIF(Мероприятия_план!$AC$48:$AC$51,AC4,Мероприятия_план!$S$48:$S$51)+SUMIF(Мероприятия_план!$AC$64:$AC$69,AC4,Мероприятия_план!$S$64:$S$69)+SUMIF(Мероприятия_план!$AC$82:$AC$86,AC4,Мероприятия_план!$S$82:$S$86)+SUMIF(Мероприятия_план!$AC$91:$AC$92,AC4,Мероприятия_план!$S$91:$S$92)+SUMIF(Мероприятия_план!$AC$96:$AC$101,AC4,Мероприятия_план!$S$96:$S$101)+SUMIF(Мероприятия_план!$AC$123:$AC$127,AC4,Мероприятия_план!$S$123:$S$127)+SUMIF(Мероприятия_план!$AC$166:$AC$172,AC4,Мероприятия_план!$S$166:$S$172)</f>
        <v>0</v>
      </c>
      <c r="AD47" s="1216">
        <f>SUMIF(Мероприятия_план!$AC$48:$AC$51,AD4,Мероприятия_план!$S$48:$S$51)+SUMIF(Мероприятия_план!$AC$64:$AC$69,AD4,Мероприятия_план!$S$64:$S$69)+SUMIF(Мероприятия_план!$AC$82:$AC$86,AD4,Мероприятия_план!$S$82:$S$86)+SUMIF(Мероприятия_план!$AC$91:$AC$92,AD4,Мероприятия_план!$S$91:$S$92)+SUMIF(Мероприятия_план!$AC$96:$AC$101,AD4,Мероприятия_план!$S$96:$S$101)+SUMIF(Мероприятия_план!$AC$123:$AC$127,AD4,Мероприятия_план!$S$123:$S$127)+SUMIF(Мероприятия_план!$AC$166:$AC$172,AD4,Мероприятия_план!$S$166:$S$172)</f>
        <v>0</v>
      </c>
      <c r="AE47" s="1216"/>
      <c r="AF47" s="1216"/>
      <c r="AG47" s="1216"/>
      <c r="AH47" s="1762">
        <f t="shared" si="8"/>
        <v>35</v>
      </c>
      <c r="AI47" s="1767"/>
      <c r="AJ47" s="1201"/>
      <c r="AK47" s="1201"/>
    </row>
    <row r="48" spans="1:67" ht="15.75">
      <c r="A48" s="2134" t="s">
        <v>294</v>
      </c>
      <c r="B48" s="1212" t="s">
        <v>166</v>
      </c>
      <c r="C48" s="1213">
        <f>COUNTIF(Мероприятия_план!$AC$145:$AC$152,C4)+COUNTIF(Мероприятия_план!$AC$156:$AC$162,C4)</f>
        <v>0</v>
      </c>
      <c r="D48" s="1213">
        <f>COUNTIF(Мероприятия_план!$AC$145:$AC$152,D4)+COUNTIF(Мероприятия_план!$AC$156:$AC$162,D4)</f>
        <v>0</v>
      </c>
      <c r="E48" s="1213">
        <f>COUNTIF(Мероприятия_план!$AC$145:$AC$152,E4)+COUNTIF(Мероприятия_план!$AC$156:$AC$162,E4)</f>
        <v>0</v>
      </c>
      <c r="F48" s="1213">
        <f>COUNTIF(Мероприятия_план!$AC$145:$AC$152,F4)+COUNTIF(Мероприятия_план!$AC$156:$AC$162,F4)</f>
        <v>0</v>
      </c>
      <c r="G48" s="1213">
        <f>COUNTIF(Мероприятия_план!$AC$145:$AC$152,G4)+COUNTIF(Мероприятия_план!$AC$156:$AC$162,G4)</f>
        <v>0</v>
      </c>
      <c r="H48" s="1213">
        <f>COUNTIF(Мероприятия_план!$AC$145:$AC$152,H4)+COUNTIF(Мероприятия_план!$AC$156:$AC$162,H4)</f>
        <v>0</v>
      </c>
      <c r="I48" s="1213">
        <f>COUNTIF(Мероприятия_план!$AC$145:$AC$152,I4)+COUNTIF(Мероприятия_план!$AC$156:$AC$162,I4)</f>
        <v>0</v>
      </c>
      <c r="J48" s="1213">
        <f>COUNTIF(Мероприятия_план!$AC$145:$AC$152,J4)+COUNTIF(Мероприятия_план!$AC$156:$AC$162,J4)</f>
        <v>0</v>
      </c>
      <c r="K48" s="1213">
        <f>COUNTIF(Мероприятия_план!$AC$145:$AC$152,K4)+COUNTIF(Мероприятия_план!$AC$156:$AC$162,K4)</f>
        <v>0</v>
      </c>
      <c r="L48" s="1213">
        <f>COUNTIF(Мероприятия_план!$AC$145:$AC$152,L4)+COUNTIF(Мероприятия_план!$AC$156:$AC$162,L4)</f>
        <v>0</v>
      </c>
      <c r="M48" s="1213">
        <f>COUNTIF(Мероприятия_план!$AC$145:$AC$152,M4)+COUNTIF(Мероприятия_план!$AC$156:$AC$162,M4)</f>
        <v>0</v>
      </c>
      <c r="N48" s="1213">
        <f>COUNTIF(Мероприятия_план!$AC$145:$AC$152,N4)+COUNTIF(Мероприятия_план!$AC$156:$AC$162,N4)</f>
        <v>0</v>
      </c>
      <c r="O48" s="1213">
        <f>COUNTIF(Мероприятия_план!$AC$145:$AC$152,O4)+COUNTIF(Мероприятия_план!$AC$156:$AC$162,O4)</f>
        <v>0</v>
      </c>
      <c r="P48" s="1213">
        <f>COUNTIF(Мероприятия_план!$AC$145:$AC$152,P4)+COUNTIF(Мероприятия_план!$AC$156:$AC$162,P4)</f>
        <v>0</v>
      </c>
      <c r="Q48" s="1213">
        <f>COUNTIF(Мероприятия_план!$AC$145:$AC$152,Q4)+COUNTIF(Мероприятия_план!$AC$156:$AC$162,Q4)</f>
        <v>0</v>
      </c>
      <c r="R48" s="1213">
        <f>COUNTIF(Мероприятия_план!$AC$145:$AC$152,R4)+COUNTIF(Мероприятия_план!$AC$156:$AC$162,R4)</f>
        <v>0</v>
      </c>
      <c r="S48" s="1213">
        <f>COUNTIF(Мероприятия_план!$AC$145:$AC$152,S4)+COUNTIF(Мероприятия_план!$AC$156:$AC$162,S4)</f>
        <v>0</v>
      </c>
      <c r="T48" s="1213">
        <f>COUNTIF(Мероприятия_план!$AC$145:$AC$152,T4)+COUNTIF(Мероприятия_план!$AC$156:$AC$162,T4)</f>
        <v>0</v>
      </c>
      <c r="U48" s="1213">
        <f>COUNTIF(Мероприятия_план!$AC$145:$AC$152,U4)+COUNTIF(Мероприятия_план!$AC$156:$AC$162,U4)</f>
        <v>0</v>
      </c>
      <c r="V48" s="1213">
        <f>COUNTIF(Мероприятия_план!$AC$145:$AC$152,V4)+COUNTIF(Мероприятия_план!$AC$156:$AC$162,V4)</f>
        <v>0</v>
      </c>
      <c r="W48" s="1213">
        <f>COUNTIF(Мероприятия_план!$AC$145:$AC$152,W4)+COUNTIF(Мероприятия_план!$AC$156:$AC$162,W4)</f>
        <v>0</v>
      </c>
      <c r="X48" s="1213">
        <f>COUNTIF(Мероприятия_план!$AC$145:$AC$152,X4)+COUNTIF(Мероприятия_план!$AC$156:$AC$162,X4)</f>
        <v>0</v>
      </c>
      <c r="Y48" s="1213">
        <f>COUNTIF(Мероприятия_план!$AC$145:$AC$152,Y4)+COUNTIF(Мероприятия_план!$AC$156:$AC$162,Y4)</f>
        <v>0</v>
      </c>
      <c r="Z48" s="1213">
        <f>COUNTIF(Мероприятия_план!$AC$145:$AC$152,Z4)+COUNTIF(Мероприятия_план!$AC$156:$AC$162,Z4)</f>
        <v>0</v>
      </c>
      <c r="AA48" s="1213">
        <f>COUNTIF(Мероприятия_план!$AC$145:$AC$152,AA4)+COUNTIF(Мероприятия_план!$AC$156:$AC$162,AA4)</f>
        <v>0</v>
      </c>
      <c r="AB48" s="1213">
        <f>COUNTIF(Мероприятия_план!$AC$145:$AC$152,AB4)+COUNTIF(Мероприятия_план!$AC$156:$AC$162,AB4)</f>
        <v>0</v>
      </c>
      <c r="AC48" s="1213">
        <f>COUNTIF(Мероприятия_план!$AC$145:$AC$152,AC4)+COUNTIF(Мероприятия_план!$AC$156:$AC$162,AC4)</f>
        <v>0</v>
      </c>
      <c r="AD48" s="1213">
        <f>COUNTIF(Мероприятия_план!$AC$145:$AC$152,AD4)+COUNTIF(Мероприятия_план!$AC$156:$AC$162,AD4)</f>
        <v>0</v>
      </c>
      <c r="AE48" s="1213"/>
      <c r="AF48" s="1213"/>
      <c r="AG48" s="1213"/>
      <c r="AH48" s="1762">
        <f t="shared" si="8"/>
        <v>0</v>
      </c>
      <c r="AI48" s="1767"/>
      <c r="AJ48" s="1201"/>
      <c r="AK48" s="1201"/>
    </row>
    <row r="49" spans="1:67" ht="15.75">
      <c r="A49" s="2134"/>
      <c r="B49" s="1212" t="s">
        <v>142</v>
      </c>
      <c r="C49" s="1216">
        <f>SUMIF(Мероприятия_план!$AC$145:$AC$152,C4,Мероприятия_план!$S$145:$S$152)+SUMIF(Мероприятия_план!$AC$156:$AC$162,C4,Мероприятия_план!$S$156:$S$162)</f>
        <v>0</v>
      </c>
      <c r="D49" s="1216">
        <f>SUMIF(Мероприятия_план!$AC$145:$AC$152,D4,Мероприятия_план!$S$145:$S$152)+SUMIF(Мероприятия_план!$AC$156:$AC$162,D4,Мероприятия_план!$S$156:$S$162)</f>
        <v>0</v>
      </c>
      <c r="E49" s="1216">
        <f>SUMIF(Мероприятия_план!$AC$145:$AC$152,E4,Мероприятия_план!$S$145:$S$152)+SUMIF(Мероприятия_план!$AC$156:$AC$162,E4,Мероприятия_план!$S$156:$S$162)</f>
        <v>0</v>
      </c>
      <c r="F49" s="1216">
        <f>SUMIF(Мероприятия_план!$AC$145:$AC$152,F4,Мероприятия_план!$S$145:$S$152)+SUMIF(Мероприятия_план!$AC$156:$AC$162,F4,Мероприятия_план!$S$156:$S$162)</f>
        <v>0</v>
      </c>
      <c r="G49" s="1216">
        <f>SUMIF(Мероприятия_план!$AC$145:$AC$152,G4,Мероприятия_план!$S$145:$S$152)+SUMIF(Мероприятия_план!$AC$156:$AC$162,G4,Мероприятия_план!$S$156:$S$162)</f>
        <v>0</v>
      </c>
      <c r="H49" s="1216">
        <f>SUMIF(Мероприятия_план!$AC$145:$AC$152,H4,Мероприятия_план!$S$145:$S$152)+SUMIF(Мероприятия_план!$AC$156:$AC$162,H4,Мероприятия_план!$S$156:$S$162)</f>
        <v>0</v>
      </c>
      <c r="I49" s="1216">
        <f>SUMIF(Мероприятия_план!$AC$145:$AC$152,I4,Мероприятия_план!$S$145:$S$152)+SUMIF(Мероприятия_план!$AC$156:$AC$162,I4,Мероприятия_план!$S$156:$S$162)</f>
        <v>0</v>
      </c>
      <c r="J49" s="1216">
        <f>SUMIF(Мероприятия_план!$AC$145:$AC$152,J4,Мероприятия_план!$S$145:$S$152)+SUMIF(Мероприятия_план!$AC$156:$AC$162,J4,Мероприятия_план!$S$156:$S$162)</f>
        <v>0</v>
      </c>
      <c r="K49" s="1216">
        <f>SUMIF(Мероприятия_план!$AC$145:$AC$152,K4,Мероприятия_план!$S$145:$S$152)+SUMIF(Мероприятия_план!$AC$156:$AC$162,K4,Мероприятия_план!$S$156:$S$162)</f>
        <v>0</v>
      </c>
      <c r="L49" s="1216">
        <f>SUMIF(Мероприятия_план!$AC$145:$AC$152,L4,Мероприятия_план!$S$145:$S$152)+SUMIF(Мероприятия_план!$AC$156:$AC$162,L4,Мероприятия_план!$S$156:$S$162)</f>
        <v>0</v>
      </c>
      <c r="M49" s="1216">
        <f>SUMIF(Мероприятия_план!$AC$145:$AC$152,M4,Мероприятия_план!$S$145:$S$152)+SUMIF(Мероприятия_план!$AC$156:$AC$162,M4,Мероприятия_план!$S$156:$S$162)</f>
        <v>0</v>
      </c>
      <c r="N49" s="1216">
        <f>SUMIF(Мероприятия_план!$AC$145:$AC$152,N4,Мероприятия_план!$S$145:$S$152)+SUMIF(Мероприятия_план!$AC$156:$AC$162,N4,Мероприятия_план!$S$156:$S$162)</f>
        <v>0</v>
      </c>
      <c r="O49" s="1216">
        <f>SUMIF(Мероприятия_план!$AC$145:$AC$152,O4,Мероприятия_план!$S$145:$S$152)+SUMIF(Мероприятия_план!$AC$156:$AC$162,O4,Мероприятия_план!$S$156:$S$162)</f>
        <v>0</v>
      </c>
      <c r="P49" s="1216">
        <f>SUMIF(Мероприятия_план!$AC$145:$AC$152,P4,Мероприятия_план!$S$145:$S$152)+SUMIF(Мероприятия_план!$AC$156:$AC$162,P4,Мероприятия_план!$S$156:$S$162)</f>
        <v>0</v>
      </c>
      <c r="Q49" s="1216">
        <f>SUMIF(Мероприятия_план!$AC$145:$AC$152,Q4,Мероприятия_план!$S$145:$S$152)+SUMIF(Мероприятия_план!$AC$156:$AC$162,Q4,Мероприятия_план!$S$156:$S$162)</f>
        <v>0</v>
      </c>
      <c r="R49" s="1216">
        <f>SUMIF(Мероприятия_план!$AC$145:$AC$152,R4,Мероприятия_план!$S$145:$S$152)+SUMIF(Мероприятия_план!$AC$156:$AC$162,R4,Мероприятия_план!$S$156:$S$162)</f>
        <v>0</v>
      </c>
      <c r="S49" s="1216">
        <f>SUMIF(Мероприятия_план!$AC$145:$AC$152,S4,Мероприятия_план!$S$145:$S$152)+SUMIF(Мероприятия_план!$AC$156:$AC$162,S4,Мероприятия_план!$S$156:$S$162)</f>
        <v>0</v>
      </c>
      <c r="T49" s="1216">
        <f>SUMIF(Мероприятия_план!$AC$145:$AC$152,T4,Мероприятия_план!$S$145:$S$152)+SUMIF(Мероприятия_план!$AC$156:$AC$162,T4,Мероприятия_план!$S$156:$S$162)</f>
        <v>0</v>
      </c>
      <c r="U49" s="1216">
        <f>SUMIF(Мероприятия_план!$AC$145:$AC$152,U4,Мероприятия_план!$S$145:$S$152)+SUMIF(Мероприятия_план!$AC$156:$AC$162,U4,Мероприятия_план!$S$156:$S$162)</f>
        <v>0</v>
      </c>
      <c r="V49" s="1216">
        <f>SUMIF(Мероприятия_план!$AC$145:$AC$152,V4,Мероприятия_план!$S$145:$S$152)+SUMIF(Мероприятия_план!$AC$156:$AC$162,V4,Мероприятия_план!$S$156:$S$162)</f>
        <v>0</v>
      </c>
      <c r="W49" s="1216">
        <f>SUMIF(Мероприятия_план!$AC$145:$AC$152,W4,Мероприятия_план!$S$145:$S$152)+SUMIF(Мероприятия_план!$AC$156:$AC$162,W4,Мероприятия_план!$S$156:$S$162)</f>
        <v>0</v>
      </c>
      <c r="X49" s="1216">
        <f>SUMIF(Мероприятия_план!$AC$145:$AC$152,X4,Мероприятия_план!$S$145:$S$152)+SUMIF(Мероприятия_план!$AC$156:$AC$162,X4,Мероприятия_план!$S$156:$S$162)</f>
        <v>0</v>
      </c>
      <c r="Y49" s="1216">
        <f>SUMIF(Мероприятия_план!$AC$145:$AC$152,Y4,Мероприятия_план!$S$145:$S$152)+SUMIF(Мероприятия_план!$AC$156:$AC$162,Y4,Мероприятия_план!$S$156:$S$162)</f>
        <v>0</v>
      </c>
      <c r="Z49" s="1216">
        <f>SUMIF(Мероприятия_план!$AC$145:$AC$152,Z4,Мероприятия_план!$S$145:$S$152)+SUMIF(Мероприятия_план!$AC$156:$AC$162,Z4,Мероприятия_план!$S$156:$S$162)</f>
        <v>0</v>
      </c>
      <c r="AA49" s="1216">
        <f>SUMIF(Мероприятия_план!$AC$145:$AC$152,AA4,Мероприятия_план!$S$145:$S$152)+SUMIF(Мероприятия_план!$AC$156:$AC$162,AA4,Мероприятия_план!$S$156:$S$162)</f>
        <v>0</v>
      </c>
      <c r="AB49" s="1216">
        <f>SUMIF(Мероприятия_план!$AC$145:$AC$152,AB4,Мероприятия_план!$S$145:$S$152)+SUMIF(Мероприятия_план!$AC$156:$AC$162,AB4,Мероприятия_план!$S$156:$S$162)</f>
        <v>0</v>
      </c>
      <c r="AC49" s="1216">
        <f>SUMIF(Мероприятия_план!$AC$145:$AC$152,AC4,Мероприятия_план!$S$145:$S$152)+SUMIF(Мероприятия_план!$AC$156:$AC$162,AC4,Мероприятия_план!$S$156:$S$162)</f>
        <v>0</v>
      </c>
      <c r="AD49" s="1216">
        <f>SUMIF(Мероприятия_план!$AC$145:$AC$152,AD4,Мероприятия_план!$S$145:$S$152)+SUMIF(Мероприятия_план!$AC$156:$AC$162,AD4,Мероприятия_план!$S$156:$S$162)</f>
        <v>0</v>
      </c>
      <c r="AE49" s="1216"/>
      <c r="AF49" s="1216"/>
      <c r="AG49" s="1216"/>
      <c r="AH49" s="1762">
        <f t="shared" si="8"/>
        <v>0</v>
      </c>
      <c r="AI49" s="1767"/>
      <c r="AJ49" s="1201"/>
      <c r="AK49" s="1201"/>
    </row>
    <row r="50" spans="1:67" ht="15.75">
      <c r="A50" s="2134" t="s">
        <v>135</v>
      </c>
      <c r="B50" s="1212" t="s">
        <v>166</v>
      </c>
      <c r="C50" s="1237"/>
      <c r="D50" s="1237"/>
      <c r="E50" s="1237"/>
      <c r="F50" s="1237"/>
      <c r="G50" s="1237"/>
      <c r="H50" s="1237"/>
      <c r="I50" s="1237"/>
      <c r="J50" s="1237"/>
      <c r="K50" s="1237"/>
      <c r="L50" s="1237"/>
      <c r="M50" s="1237"/>
      <c r="N50" s="1237"/>
      <c r="O50" s="1237"/>
      <c r="P50" s="1237"/>
      <c r="Q50" s="1237"/>
      <c r="R50" s="1237"/>
      <c r="S50" s="1237"/>
      <c r="T50" s="1237"/>
      <c r="U50" s="1237"/>
      <c r="V50" s="1237"/>
      <c r="W50" s="1237"/>
      <c r="X50" s="1237"/>
      <c r="Y50" s="1237"/>
      <c r="Z50" s="1237"/>
      <c r="AA50" s="1237"/>
      <c r="AB50" s="1237"/>
      <c r="AC50" s="1237"/>
      <c r="AD50" s="1237"/>
      <c r="AE50" s="1237"/>
      <c r="AF50" s="1237"/>
      <c r="AG50" s="1237"/>
      <c r="AH50" s="1762">
        <f t="shared" ref="AH50:AH59" si="9">SUM(C50:AG50)</f>
        <v>0</v>
      </c>
      <c r="AI50" s="1767"/>
      <c r="AJ50" s="1201"/>
      <c r="AK50" s="1201"/>
    </row>
    <row r="51" spans="1:67" ht="15.75">
      <c r="A51" s="2134"/>
      <c r="B51" s="1212" t="s">
        <v>142</v>
      </c>
      <c r="C51" s="1238"/>
      <c r="D51" s="1238"/>
      <c r="E51" s="1238"/>
      <c r="F51" s="1238"/>
      <c r="G51" s="1238"/>
      <c r="H51" s="1238"/>
      <c r="I51" s="1238"/>
      <c r="J51" s="1238"/>
      <c r="K51" s="1238"/>
      <c r="L51" s="1238"/>
      <c r="M51" s="1238"/>
      <c r="N51" s="1238"/>
      <c r="O51" s="1238"/>
      <c r="P51" s="1238"/>
      <c r="Q51" s="1238"/>
      <c r="R51" s="1238"/>
      <c r="S51" s="1238"/>
      <c r="T51" s="1238"/>
      <c r="U51" s="1238"/>
      <c r="V51" s="1238"/>
      <c r="W51" s="1238"/>
      <c r="X51" s="1238"/>
      <c r="Y51" s="1238"/>
      <c r="Z51" s="1238"/>
      <c r="AA51" s="1238"/>
      <c r="AB51" s="1238"/>
      <c r="AC51" s="1238"/>
      <c r="AD51" s="1238"/>
      <c r="AE51" s="1238"/>
      <c r="AF51" s="1238"/>
      <c r="AG51" s="1238"/>
      <c r="AH51" s="1762">
        <f t="shared" si="9"/>
        <v>0</v>
      </c>
      <c r="AI51" s="1767"/>
      <c r="AJ51" s="1201"/>
      <c r="AK51" s="1201"/>
    </row>
    <row r="52" spans="1:67" ht="15.75">
      <c r="A52" s="2134" t="s">
        <v>171</v>
      </c>
      <c r="B52" s="1212" t="s">
        <v>166</v>
      </c>
      <c r="C52" s="1237">
        <f>14/28</f>
        <v>0.5</v>
      </c>
      <c r="D52" s="1237">
        <f t="shared" ref="D52:AD52" si="10">14/28</f>
        <v>0.5</v>
      </c>
      <c r="E52" s="1237">
        <f t="shared" si="10"/>
        <v>0.5</v>
      </c>
      <c r="F52" s="1237">
        <f t="shared" si="10"/>
        <v>0.5</v>
      </c>
      <c r="G52" s="1237">
        <f t="shared" si="10"/>
        <v>0.5</v>
      </c>
      <c r="H52" s="1237">
        <f t="shared" si="10"/>
        <v>0.5</v>
      </c>
      <c r="I52" s="1237">
        <f t="shared" si="10"/>
        <v>0.5</v>
      </c>
      <c r="J52" s="1237">
        <f t="shared" si="10"/>
        <v>0.5</v>
      </c>
      <c r="K52" s="1237">
        <f t="shared" si="10"/>
        <v>0.5</v>
      </c>
      <c r="L52" s="1237">
        <f t="shared" si="10"/>
        <v>0.5</v>
      </c>
      <c r="M52" s="1237">
        <f t="shared" si="10"/>
        <v>0.5</v>
      </c>
      <c r="N52" s="1237">
        <f t="shared" si="10"/>
        <v>0.5</v>
      </c>
      <c r="O52" s="1237">
        <f t="shared" si="10"/>
        <v>0.5</v>
      </c>
      <c r="P52" s="1237">
        <f t="shared" si="10"/>
        <v>0.5</v>
      </c>
      <c r="Q52" s="1237">
        <f t="shared" si="10"/>
        <v>0.5</v>
      </c>
      <c r="R52" s="1237">
        <f t="shared" si="10"/>
        <v>0.5</v>
      </c>
      <c r="S52" s="1237">
        <f t="shared" si="10"/>
        <v>0.5</v>
      </c>
      <c r="T52" s="1237">
        <f t="shared" si="10"/>
        <v>0.5</v>
      </c>
      <c r="U52" s="1237">
        <f t="shared" si="10"/>
        <v>0.5</v>
      </c>
      <c r="V52" s="1237">
        <f t="shared" si="10"/>
        <v>0.5</v>
      </c>
      <c r="W52" s="1237">
        <f t="shared" si="10"/>
        <v>0.5</v>
      </c>
      <c r="X52" s="1237">
        <f t="shared" si="10"/>
        <v>0.5</v>
      </c>
      <c r="Y52" s="1237">
        <f t="shared" si="10"/>
        <v>0.5</v>
      </c>
      <c r="Z52" s="1237">
        <f t="shared" si="10"/>
        <v>0.5</v>
      </c>
      <c r="AA52" s="1237">
        <f t="shared" si="10"/>
        <v>0.5</v>
      </c>
      <c r="AB52" s="1237">
        <f t="shared" si="10"/>
        <v>0.5</v>
      </c>
      <c r="AC52" s="1237">
        <f t="shared" si="10"/>
        <v>0.5</v>
      </c>
      <c r="AD52" s="1237">
        <f t="shared" si="10"/>
        <v>0.5</v>
      </c>
      <c r="AE52" s="1777"/>
      <c r="AF52" s="1777"/>
      <c r="AG52" s="1777"/>
      <c r="AH52" s="1762">
        <f>SUM(C52:AG52)</f>
        <v>14</v>
      </c>
      <c r="AI52" s="1767"/>
      <c r="AK52" s="1201"/>
    </row>
    <row r="53" spans="1:67" ht="15.75">
      <c r="A53" s="2134"/>
      <c r="B53" s="1212" t="s">
        <v>142</v>
      </c>
      <c r="C53" s="1238">
        <f>372/28</f>
        <v>13.285714285714286</v>
      </c>
      <c r="D53" s="1238">
        <f t="shared" ref="D53:AC53" si="11">372/28</f>
        <v>13.285714285714286</v>
      </c>
      <c r="E53" s="1238">
        <f t="shared" si="11"/>
        <v>13.285714285714286</v>
      </c>
      <c r="F53" s="1238">
        <f t="shared" si="11"/>
        <v>13.285714285714286</v>
      </c>
      <c r="G53" s="1238">
        <f t="shared" si="11"/>
        <v>13.285714285714286</v>
      </c>
      <c r="H53" s="1238">
        <f t="shared" si="11"/>
        <v>13.285714285714286</v>
      </c>
      <c r="I53" s="1238">
        <f t="shared" si="11"/>
        <v>13.285714285714286</v>
      </c>
      <c r="J53" s="1238">
        <f t="shared" si="11"/>
        <v>13.285714285714286</v>
      </c>
      <c r="K53" s="1238">
        <f t="shared" si="11"/>
        <v>13.285714285714286</v>
      </c>
      <c r="L53" s="1238">
        <f t="shared" si="11"/>
        <v>13.285714285714286</v>
      </c>
      <c r="M53" s="1238">
        <f t="shared" si="11"/>
        <v>13.285714285714286</v>
      </c>
      <c r="N53" s="1238">
        <f t="shared" si="11"/>
        <v>13.285714285714286</v>
      </c>
      <c r="O53" s="1238">
        <f t="shared" si="11"/>
        <v>13.285714285714286</v>
      </c>
      <c r="P53" s="1238">
        <f t="shared" si="11"/>
        <v>13.285714285714286</v>
      </c>
      <c r="Q53" s="1238">
        <f t="shared" si="11"/>
        <v>13.285714285714286</v>
      </c>
      <c r="R53" s="1238">
        <f t="shared" si="11"/>
        <v>13.285714285714286</v>
      </c>
      <c r="S53" s="1238">
        <f t="shared" si="11"/>
        <v>13.285714285714286</v>
      </c>
      <c r="T53" s="1238">
        <f t="shared" si="11"/>
        <v>13.285714285714286</v>
      </c>
      <c r="U53" s="1238">
        <f t="shared" si="11"/>
        <v>13.285714285714286</v>
      </c>
      <c r="V53" s="1238">
        <f t="shared" si="11"/>
        <v>13.285714285714286</v>
      </c>
      <c r="W53" s="1238">
        <f t="shared" si="11"/>
        <v>13.285714285714286</v>
      </c>
      <c r="X53" s="1238">
        <f t="shared" si="11"/>
        <v>13.285714285714286</v>
      </c>
      <c r="Y53" s="1238">
        <f t="shared" si="11"/>
        <v>13.285714285714286</v>
      </c>
      <c r="Z53" s="1238">
        <f t="shared" si="11"/>
        <v>13.285714285714286</v>
      </c>
      <c r="AA53" s="1238">
        <f t="shared" si="11"/>
        <v>13.285714285714286</v>
      </c>
      <c r="AB53" s="1238">
        <f t="shared" si="11"/>
        <v>13.285714285714286</v>
      </c>
      <c r="AC53" s="1238">
        <f t="shared" si="11"/>
        <v>13.285714285714286</v>
      </c>
      <c r="AD53" s="1238">
        <f>372/28</f>
        <v>13.285714285714286</v>
      </c>
      <c r="AE53" s="1238"/>
      <c r="AF53" s="1238"/>
      <c r="AG53" s="1238"/>
      <c r="AH53" s="1762">
        <f>SUM(C53:AG53)</f>
        <v>371.99999999999989</v>
      </c>
      <c r="AI53" s="1768">
        <f>$C$53*$C$2+$D$53*$D$2+$E$53*$E$2+$F$53*$F$2+$G$53*$G$2+$H$53*$H$2+$I$53*$I$2+$J$53*$J$2+$K$53*$K$2+$L$53*$L$2+$M$53*$M$2+$N$53*$N$2+$O$53*$O$2+$P$53*$P$2+$Q$53*$Q$2+$R$53*$R$2+$S$53*$S$2+$T$53*$T$2+$U$53*$U$2+$V$53*$V$2+$W$53*$W$2+$X$53*$X$2+$Y$53*$Y$2+$Z$53*$Z$2+$AA$53*$AA$2+$AB$53*$AB$2+$AC$53*$AC$2+$AD$53*$AD$2</f>
        <v>5394</v>
      </c>
      <c r="AJ53" s="1768">
        <f>($C$53-C35)*$C$2+($D$53-D35)*$D$2+($E$53-E35)*$E$2+($F$53-F35)*$F$2+($G$53-G35)*$G$2+($H$53-H35)*$H$2+($I$53-I35)*$I$2+($J$53-J35)*$J$2+($K$53-K35)*$K$2+($L$53-L35)*$L$2+($M$53-M35)*$M$2+($N$53-N35)*$N$2+($O$53-O35)*$O$2+($P$53-P35)*$P$2+($Q$53-Q35)*$Q$2+($R$53-R35)*$R$2+($S$53-S35)*$S$2+($T$53-T35)*$T$2+($U$53-U35)*$U$2+($V$53-V35)*$V$2+($W$53-W35)*$W$2+($X$53-X35)*$X$2+($Y$53-Y35)*$Y$2+($Z$53-Z35)*$Z$2+($AA$53-AA35)*$AA$2+($AB$53-AB35)*$AB$2+($AC$53-AC35)*$AC$2+($AD$53-AD35)*$AD$2+($AE$53-AE35)*$AE$2+($AF$53-AF35)*$AF$2+$AG$53*$AG$2</f>
        <v>391.50000000000034</v>
      </c>
      <c r="AK53" s="1201"/>
    </row>
    <row r="54" spans="1:67" ht="15.75">
      <c r="A54" s="2134" t="s">
        <v>348</v>
      </c>
      <c r="B54" s="1212" t="s">
        <v>166</v>
      </c>
      <c r="C54" s="1239"/>
      <c r="D54" s="1239"/>
      <c r="E54" s="1239"/>
      <c r="F54" s="1239"/>
      <c r="G54" s="1239"/>
      <c r="H54" s="1239"/>
      <c r="I54" s="1239"/>
      <c r="J54" s="1239"/>
      <c r="K54" s="1239"/>
      <c r="L54" s="1239"/>
      <c r="M54" s="1239"/>
      <c r="N54" s="1239"/>
      <c r="O54" s="1239"/>
      <c r="P54" s="1239"/>
      <c r="Q54" s="1239"/>
      <c r="R54" s="1239"/>
      <c r="S54" s="1239"/>
      <c r="T54" s="1239"/>
      <c r="U54" s="1239"/>
      <c r="V54" s="1239"/>
      <c r="W54" s="1239"/>
      <c r="X54" s="1239"/>
      <c r="Y54" s="1239"/>
      <c r="Z54" s="1239"/>
      <c r="AA54" s="1239"/>
      <c r="AB54" s="1239"/>
      <c r="AC54" s="1239"/>
      <c r="AD54" s="1239"/>
      <c r="AE54" s="1239"/>
      <c r="AF54" s="1239"/>
      <c r="AG54" s="1239"/>
      <c r="AH54" s="1762">
        <f t="shared" si="9"/>
        <v>0</v>
      </c>
      <c r="AI54" s="1766"/>
      <c r="AK54" s="1201"/>
    </row>
    <row r="55" spans="1:67" ht="15.75">
      <c r="A55" s="2134"/>
      <c r="B55" s="1212" t="s">
        <v>142</v>
      </c>
      <c r="C55" s="1239"/>
      <c r="D55" s="1239"/>
      <c r="E55" s="1239"/>
      <c r="F55" s="1239"/>
      <c r="G55" s="1239"/>
      <c r="H55" s="1239"/>
      <c r="I55" s="1239"/>
      <c r="J55" s="1239"/>
      <c r="K55" s="1239"/>
      <c r="L55" s="1239"/>
      <c r="M55" s="1239"/>
      <c r="N55" s="1239"/>
      <c r="O55" s="1239"/>
      <c r="P55" s="1239"/>
      <c r="Q55" s="1239"/>
      <c r="R55" s="1239"/>
      <c r="S55" s="1239"/>
      <c r="T55" s="1239"/>
      <c r="U55" s="1239"/>
      <c r="V55" s="1239"/>
      <c r="W55" s="1239"/>
      <c r="X55" s="1239"/>
      <c r="Y55" s="1239"/>
      <c r="Z55" s="1239"/>
      <c r="AA55" s="1239"/>
      <c r="AB55" s="1239"/>
      <c r="AC55" s="1239"/>
      <c r="AD55" s="1239"/>
      <c r="AE55" s="1239"/>
      <c r="AF55" s="1239"/>
      <c r="AG55" s="1239"/>
      <c r="AH55" s="1762">
        <f>SUM(C55:AG55)</f>
        <v>0</v>
      </c>
      <c r="AI55" s="1767"/>
      <c r="AJ55" s="1201"/>
    </row>
    <row r="56" spans="1:67" ht="15.75">
      <c r="A56" s="2132" t="s">
        <v>172</v>
      </c>
      <c r="B56" s="1227" t="s">
        <v>166</v>
      </c>
      <c r="C56" s="1228">
        <f>C42+C44+C46+C50+C52+C48</f>
        <v>0.5</v>
      </c>
      <c r="D56" s="1228">
        <f t="shared" ref="D56:G56" si="12">D42+D44+D46+D50+D52+D48</f>
        <v>0.5</v>
      </c>
      <c r="E56" s="1228">
        <f t="shared" si="12"/>
        <v>0.5</v>
      </c>
      <c r="F56" s="1228">
        <f t="shared" si="12"/>
        <v>0.5</v>
      </c>
      <c r="G56" s="1228">
        <f t="shared" si="12"/>
        <v>0.5</v>
      </c>
      <c r="H56" s="1228">
        <f t="shared" ref="H56:AD56" si="13">H42+H44+H46+H50+H52+H48</f>
        <v>0.5</v>
      </c>
      <c r="I56" s="1228">
        <f t="shared" si="13"/>
        <v>0.5</v>
      </c>
      <c r="J56" s="1228">
        <f t="shared" si="13"/>
        <v>1.5</v>
      </c>
      <c r="K56" s="1228">
        <f t="shared" si="13"/>
        <v>0.5</v>
      </c>
      <c r="L56" s="1228">
        <f t="shared" si="13"/>
        <v>0.5</v>
      </c>
      <c r="M56" s="1228">
        <f t="shared" si="13"/>
        <v>0.5</v>
      </c>
      <c r="N56" s="1228">
        <f t="shared" si="13"/>
        <v>0.5</v>
      </c>
      <c r="O56" s="1228">
        <f t="shared" si="13"/>
        <v>0.5</v>
      </c>
      <c r="P56" s="1228">
        <f t="shared" si="13"/>
        <v>0.5</v>
      </c>
      <c r="Q56" s="1228">
        <f t="shared" si="13"/>
        <v>0.5</v>
      </c>
      <c r="R56" s="1228">
        <f t="shared" si="13"/>
        <v>0.5</v>
      </c>
      <c r="S56" s="1228">
        <f t="shared" si="13"/>
        <v>0.5</v>
      </c>
      <c r="T56" s="1228">
        <f t="shared" si="13"/>
        <v>0.5</v>
      </c>
      <c r="U56" s="1228">
        <f t="shared" si="13"/>
        <v>0.5</v>
      </c>
      <c r="V56" s="1228">
        <f t="shared" si="13"/>
        <v>1.5</v>
      </c>
      <c r="W56" s="1228">
        <f t="shared" si="13"/>
        <v>0.5</v>
      </c>
      <c r="X56" s="1228">
        <f t="shared" si="13"/>
        <v>0.5</v>
      </c>
      <c r="Y56" s="1228">
        <f t="shared" si="13"/>
        <v>0.5</v>
      </c>
      <c r="Z56" s="1228">
        <f t="shared" si="13"/>
        <v>0.5</v>
      </c>
      <c r="AA56" s="1228">
        <f t="shared" si="13"/>
        <v>0.5</v>
      </c>
      <c r="AB56" s="1228">
        <f t="shared" si="13"/>
        <v>0.5</v>
      </c>
      <c r="AC56" s="1228">
        <f t="shared" si="13"/>
        <v>0.5</v>
      </c>
      <c r="AD56" s="1228">
        <f t="shared" si="13"/>
        <v>0.5</v>
      </c>
      <c r="AE56" s="1228"/>
      <c r="AF56" s="1228"/>
      <c r="AG56" s="1228"/>
      <c r="AH56" s="1763">
        <f>SUM(C56:AG56)</f>
        <v>16</v>
      </c>
      <c r="AI56" s="1767"/>
      <c r="AJ56" s="1201"/>
      <c r="AK56" s="1201"/>
    </row>
    <row r="57" spans="1:67" ht="15.75">
      <c r="A57" s="2132"/>
      <c r="B57" s="1227" t="s">
        <v>142</v>
      </c>
      <c r="C57" s="1228">
        <f>C43+C45+C47+C51+C53+C49+C55</f>
        <v>13.285714285714286</v>
      </c>
      <c r="D57" s="1228">
        <f>D43+D45+D47+D51+D53+D49+D55</f>
        <v>13.285714285714286</v>
      </c>
      <c r="E57" s="1228">
        <f t="shared" ref="E57:F57" si="14">E43+E45+E47+E51+E53+E49+E55</f>
        <v>13.285714285714286</v>
      </c>
      <c r="F57" s="1228">
        <f t="shared" si="14"/>
        <v>13.285714285714286</v>
      </c>
      <c r="G57" s="1228">
        <f>G43+G45+G47+G51+G53+G49</f>
        <v>13.285714285714286</v>
      </c>
      <c r="H57" s="1228">
        <f t="shared" ref="H57:AD57" si="15">H43+H45+H47+H51+H53+H49</f>
        <v>13.285714285714286</v>
      </c>
      <c r="I57" s="1228">
        <f t="shared" si="15"/>
        <v>13.285714285714286</v>
      </c>
      <c r="J57" s="1228">
        <f t="shared" si="15"/>
        <v>21.285714285714285</v>
      </c>
      <c r="K57" s="1228">
        <f t="shared" si="15"/>
        <v>13.285714285714286</v>
      </c>
      <c r="L57" s="1228">
        <f t="shared" si="15"/>
        <v>13.285714285714286</v>
      </c>
      <c r="M57" s="1228">
        <f t="shared" si="15"/>
        <v>13.285714285714286</v>
      </c>
      <c r="N57" s="1228">
        <f t="shared" si="15"/>
        <v>13.285714285714286</v>
      </c>
      <c r="O57" s="1228">
        <f t="shared" si="15"/>
        <v>13.285714285714286</v>
      </c>
      <c r="P57" s="1228">
        <f t="shared" si="15"/>
        <v>13.285714285714286</v>
      </c>
      <c r="Q57" s="1228">
        <f t="shared" si="15"/>
        <v>13.285714285714286</v>
      </c>
      <c r="R57" s="1228">
        <f t="shared" si="15"/>
        <v>13.285714285714286</v>
      </c>
      <c r="S57" s="1228">
        <f t="shared" si="15"/>
        <v>13.285714285714286</v>
      </c>
      <c r="T57" s="1228">
        <f t="shared" si="15"/>
        <v>13.285714285714286</v>
      </c>
      <c r="U57" s="1228">
        <f t="shared" si="15"/>
        <v>13.285714285714286</v>
      </c>
      <c r="V57" s="1228">
        <f t="shared" si="15"/>
        <v>40.285714285714285</v>
      </c>
      <c r="W57" s="1228">
        <f t="shared" si="15"/>
        <v>13.285714285714286</v>
      </c>
      <c r="X57" s="1228">
        <f t="shared" si="15"/>
        <v>13.285714285714286</v>
      </c>
      <c r="Y57" s="1228">
        <f t="shared" si="15"/>
        <v>13.285714285714286</v>
      </c>
      <c r="Z57" s="1228">
        <f t="shared" si="15"/>
        <v>13.285714285714286</v>
      </c>
      <c r="AA57" s="1228">
        <f t="shared" si="15"/>
        <v>13.285714285714286</v>
      </c>
      <c r="AB57" s="1228">
        <f t="shared" si="15"/>
        <v>13.285714285714286</v>
      </c>
      <c r="AC57" s="1228">
        <f t="shared" si="15"/>
        <v>13.285714285714286</v>
      </c>
      <c r="AD57" s="1228">
        <f t="shared" si="15"/>
        <v>13.285714285714286</v>
      </c>
      <c r="AE57" s="1228"/>
      <c r="AF57" s="1228"/>
      <c r="AG57" s="1228"/>
      <c r="AH57" s="1229">
        <f>SUM(C57:AG57)</f>
        <v>406.99999999999989</v>
      </c>
      <c r="AJ57" s="1201"/>
      <c r="AK57" s="1201"/>
    </row>
    <row r="58" spans="1:67" s="1200" customFormat="1" ht="15.75">
      <c r="A58" s="2137" t="s">
        <v>173</v>
      </c>
      <c r="B58" s="1230" t="s">
        <v>166</v>
      </c>
      <c r="C58" s="1231">
        <f>C56-C52</f>
        <v>0</v>
      </c>
      <c r="D58" s="1231">
        <f t="shared" ref="D58:AD58" si="16">D56-D52</f>
        <v>0</v>
      </c>
      <c r="E58" s="1231">
        <f t="shared" si="16"/>
        <v>0</v>
      </c>
      <c r="F58" s="1231">
        <f t="shared" si="16"/>
        <v>0</v>
      </c>
      <c r="G58" s="1231">
        <f t="shared" si="16"/>
        <v>0</v>
      </c>
      <c r="H58" s="1231">
        <f t="shared" si="16"/>
        <v>0</v>
      </c>
      <c r="I58" s="1231">
        <f t="shared" si="16"/>
        <v>0</v>
      </c>
      <c r="J58" s="1231">
        <f t="shared" si="16"/>
        <v>1</v>
      </c>
      <c r="K58" s="1231">
        <f t="shared" si="16"/>
        <v>0</v>
      </c>
      <c r="L58" s="1231">
        <f t="shared" si="16"/>
        <v>0</v>
      </c>
      <c r="M58" s="1231">
        <f t="shared" si="16"/>
        <v>0</v>
      </c>
      <c r="N58" s="1231">
        <f t="shared" si="16"/>
        <v>0</v>
      </c>
      <c r="O58" s="1231">
        <f t="shared" si="16"/>
        <v>0</v>
      </c>
      <c r="P58" s="1231">
        <f t="shared" si="16"/>
        <v>0</v>
      </c>
      <c r="Q58" s="1231">
        <f t="shared" si="16"/>
        <v>0</v>
      </c>
      <c r="R58" s="1231">
        <f t="shared" si="16"/>
        <v>0</v>
      </c>
      <c r="S58" s="1231">
        <f t="shared" si="16"/>
        <v>0</v>
      </c>
      <c r="T58" s="1231">
        <f t="shared" si="16"/>
        <v>0</v>
      </c>
      <c r="U58" s="1231">
        <f t="shared" si="16"/>
        <v>0</v>
      </c>
      <c r="V58" s="1231">
        <f t="shared" si="16"/>
        <v>1</v>
      </c>
      <c r="W58" s="1231">
        <f t="shared" si="16"/>
        <v>0</v>
      </c>
      <c r="X58" s="1231">
        <f t="shared" si="16"/>
        <v>0</v>
      </c>
      <c r="Y58" s="1231">
        <f t="shared" si="16"/>
        <v>0</v>
      </c>
      <c r="Z58" s="1231">
        <f t="shared" si="16"/>
        <v>0</v>
      </c>
      <c r="AA58" s="1231">
        <f t="shared" si="16"/>
        <v>0</v>
      </c>
      <c r="AB58" s="1231">
        <f t="shared" si="16"/>
        <v>0</v>
      </c>
      <c r="AC58" s="1231">
        <f t="shared" si="16"/>
        <v>0</v>
      </c>
      <c r="AD58" s="1231">
        <f t="shared" si="16"/>
        <v>0</v>
      </c>
      <c r="AE58" s="1231"/>
      <c r="AF58" s="1231"/>
      <c r="AG58" s="1231"/>
      <c r="AH58" s="1232">
        <f t="shared" si="9"/>
        <v>2</v>
      </c>
      <c r="AI58" s="1208"/>
      <c r="AJ58" s="1201"/>
      <c r="AK58" s="1201"/>
      <c r="AL58" s="1199"/>
      <c r="AM58" s="1199"/>
      <c r="AN58" s="1199"/>
      <c r="AO58" s="1199"/>
      <c r="AP58" s="1199"/>
      <c r="AQ58" s="1199"/>
      <c r="AR58" s="1199"/>
      <c r="AS58" s="1199"/>
      <c r="AT58" s="1199"/>
      <c r="AU58" s="1199"/>
      <c r="AV58" s="1199"/>
      <c r="AW58" s="1199"/>
      <c r="AX58" s="1199"/>
      <c r="AY58" s="1199"/>
      <c r="AZ58" s="1199"/>
      <c r="BA58" s="1199"/>
      <c r="BB58" s="1199"/>
      <c r="BC58" s="1199"/>
      <c r="BD58" s="1199"/>
      <c r="BE58" s="1199"/>
      <c r="BF58" s="1199"/>
      <c r="BG58" s="1199"/>
      <c r="BH58" s="1199"/>
      <c r="BI58" s="1199"/>
      <c r="BJ58" s="1199"/>
      <c r="BK58" s="1199"/>
      <c r="BL58" s="1199"/>
      <c r="BM58" s="1199"/>
      <c r="BN58" s="1199"/>
      <c r="BO58" s="1199"/>
    </row>
    <row r="59" spans="1:67" s="1200" customFormat="1" ht="15.75">
      <c r="A59" s="2137"/>
      <c r="B59" s="1230" t="s">
        <v>142</v>
      </c>
      <c r="C59" s="1231">
        <f>C57-C53</f>
        <v>0</v>
      </c>
      <c r="D59" s="1231">
        <f>D57-D53</f>
        <v>0</v>
      </c>
      <c r="E59" s="1231">
        <f t="shared" ref="E59:AD59" si="17">E57-E53</f>
        <v>0</v>
      </c>
      <c r="F59" s="1231">
        <f t="shared" si="17"/>
        <v>0</v>
      </c>
      <c r="G59" s="1231">
        <f t="shared" si="17"/>
        <v>0</v>
      </c>
      <c r="H59" s="1231">
        <f t="shared" si="17"/>
        <v>0</v>
      </c>
      <c r="I59" s="1231">
        <f t="shared" si="17"/>
        <v>0</v>
      </c>
      <c r="J59" s="1231">
        <f t="shared" si="17"/>
        <v>7.9999999999999982</v>
      </c>
      <c r="K59" s="1231">
        <f t="shared" si="17"/>
        <v>0</v>
      </c>
      <c r="L59" s="1231">
        <f t="shared" si="17"/>
        <v>0</v>
      </c>
      <c r="M59" s="1231">
        <f t="shared" si="17"/>
        <v>0</v>
      </c>
      <c r="N59" s="1231">
        <f t="shared" si="17"/>
        <v>0</v>
      </c>
      <c r="O59" s="1231">
        <f t="shared" si="17"/>
        <v>0</v>
      </c>
      <c r="P59" s="1231">
        <f t="shared" si="17"/>
        <v>0</v>
      </c>
      <c r="Q59" s="1231">
        <f t="shared" si="17"/>
        <v>0</v>
      </c>
      <c r="R59" s="1231">
        <f t="shared" si="17"/>
        <v>0</v>
      </c>
      <c r="S59" s="1231">
        <f t="shared" si="17"/>
        <v>0</v>
      </c>
      <c r="T59" s="1231">
        <f t="shared" si="17"/>
        <v>0</v>
      </c>
      <c r="U59" s="1231">
        <f t="shared" si="17"/>
        <v>0</v>
      </c>
      <c r="V59" s="1231">
        <f t="shared" si="17"/>
        <v>27</v>
      </c>
      <c r="W59" s="1231">
        <f t="shared" si="17"/>
        <v>0</v>
      </c>
      <c r="X59" s="1231">
        <f t="shared" si="17"/>
        <v>0</v>
      </c>
      <c r="Y59" s="1231">
        <f t="shared" si="17"/>
        <v>0</v>
      </c>
      <c r="Z59" s="1231">
        <f t="shared" si="17"/>
        <v>0</v>
      </c>
      <c r="AA59" s="1231">
        <f t="shared" si="17"/>
        <v>0</v>
      </c>
      <c r="AB59" s="1231">
        <f t="shared" si="17"/>
        <v>0</v>
      </c>
      <c r="AC59" s="1231">
        <f t="shared" si="17"/>
        <v>0</v>
      </c>
      <c r="AD59" s="1231">
        <f t="shared" si="17"/>
        <v>0</v>
      </c>
      <c r="AE59" s="1231"/>
      <c r="AF59" s="1231"/>
      <c r="AG59" s="1231"/>
      <c r="AH59" s="1232">
        <f t="shared" si="9"/>
        <v>35</v>
      </c>
      <c r="AI59" s="1208"/>
      <c r="AJ59" s="1201"/>
      <c r="AK59" s="1201"/>
      <c r="AL59" s="1199"/>
      <c r="AM59" s="1199"/>
      <c r="AN59" s="1199"/>
      <c r="AO59" s="1199"/>
      <c r="AP59" s="1199"/>
      <c r="AQ59" s="1199"/>
      <c r="AR59" s="1199"/>
      <c r="AS59" s="1199"/>
      <c r="AT59" s="1199"/>
      <c r="AU59" s="1199"/>
      <c r="AV59" s="1199"/>
      <c r="AW59" s="1199"/>
      <c r="AX59" s="1199"/>
      <c r="AY59" s="1199"/>
      <c r="AZ59" s="1199"/>
      <c r="BA59" s="1199"/>
      <c r="BB59" s="1199"/>
      <c r="BC59" s="1199"/>
      <c r="BD59" s="1199"/>
      <c r="BE59" s="1199"/>
      <c r="BF59" s="1199"/>
      <c r="BG59" s="1199"/>
      <c r="BH59" s="1199"/>
      <c r="BI59" s="1199"/>
      <c r="BJ59" s="1199"/>
      <c r="BK59" s="1199"/>
      <c r="BL59" s="1199"/>
      <c r="BM59" s="1199"/>
      <c r="BN59" s="1199"/>
      <c r="BO59" s="1199"/>
    </row>
    <row r="60" spans="1:67" s="1200" customFormat="1" ht="12" customHeight="1">
      <c r="A60" s="1233"/>
      <c r="B60" s="1234"/>
      <c r="C60" s="1234"/>
      <c r="D60" s="1234"/>
      <c r="E60" s="1234"/>
      <c r="F60" s="1234"/>
      <c r="G60" s="1234"/>
      <c r="H60" s="1234"/>
      <c r="I60" s="1234"/>
      <c r="J60" s="1234"/>
      <c r="K60" s="1234"/>
      <c r="L60" s="1234"/>
      <c r="M60" s="1234"/>
      <c r="N60" s="1234"/>
      <c r="O60" s="1234"/>
      <c r="P60" s="1234"/>
      <c r="Q60" s="1234"/>
      <c r="R60" s="1234"/>
      <c r="S60" s="1234"/>
      <c r="T60" s="1234"/>
      <c r="U60" s="1234"/>
      <c r="V60" s="1234"/>
      <c r="W60" s="1234"/>
      <c r="X60" s="1234"/>
      <c r="Y60" s="1234"/>
      <c r="Z60" s="1234"/>
      <c r="AA60" s="1234"/>
      <c r="AB60" s="1234"/>
      <c r="AC60" s="1234"/>
      <c r="AD60" s="1234"/>
      <c r="AE60" s="1234"/>
      <c r="AF60" s="1234"/>
      <c r="AG60" s="1234"/>
      <c r="AH60" s="1235"/>
      <c r="AI60" s="1208"/>
      <c r="AJ60" s="1199"/>
      <c r="AK60" s="1199"/>
      <c r="AL60" s="1199"/>
      <c r="AM60" s="1199"/>
      <c r="AN60" s="1199"/>
      <c r="AO60" s="1199"/>
      <c r="AP60" s="1199"/>
      <c r="AQ60" s="1199"/>
      <c r="AR60" s="1199"/>
      <c r="AS60" s="1199"/>
      <c r="AT60" s="1199"/>
      <c r="AU60" s="1199"/>
      <c r="AV60" s="1199"/>
      <c r="AW60" s="1199"/>
      <c r="AX60" s="1199"/>
      <c r="AY60" s="1199"/>
      <c r="AZ60" s="1199"/>
      <c r="BA60" s="1199"/>
      <c r="BB60" s="1199"/>
      <c r="BC60" s="1199"/>
      <c r="BD60" s="1199"/>
      <c r="BE60" s="1199"/>
      <c r="BF60" s="1199"/>
      <c r="BG60" s="1199"/>
      <c r="BH60" s="1199"/>
      <c r="BI60" s="1199"/>
      <c r="BJ60" s="1199"/>
      <c r="BK60" s="1199"/>
      <c r="BL60" s="1199"/>
      <c r="BM60" s="1199"/>
      <c r="BN60" s="1199"/>
      <c r="BO60" s="1199"/>
    </row>
    <row r="61" spans="1:67" ht="15.6" customHeight="1">
      <c r="A61" s="2133" t="s">
        <v>174</v>
      </c>
      <c r="B61" s="2133"/>
      <c r="C61" s="1240"/>
      <c r="D61" s="1240"/>
      <c r="E61" s="1240"/>
      <c r="F61" s="1240"/>
      <c r="G61" s="1240"/>
      <c r="H61" s="1240"/>
      <c r="I61" s="1240"/>
      <c r="J61" s="1240"/>
      <c r="K61" s="1240"/>
      <c r="L61" s="1240"/>
      <c r="M61" s="1240"/>
      <c r="N61" s="1240"/>
      <c r="O61" s="1240"/>
      <c r="P61" s="1240"/>
      <c r="Q61" s="1240"/>
      <c r="R61" s="1240"/>
      <c r="S61" s="1240"/>
      <c r="T61" s="1240"/>
      <c r="U61" s="1240"/>
      <c r="V61" s="1240"/>
      <c r="W61" s="1240"/>
      <c r="X61" s="1240"/>
      <c r="Y61" s="1240"/>
      <c r="Z61" s="1240"/>
      <c r="AA61" s="1240"/>
      <c r="AB61" s="1240"/>
      <c r="AC61" s="1240"/>
      <c r="AD61" s="1240"/>
      <c r="AE61" s="1240"/>
      <c r="AF61" s="1240"/>
      <c r="AG61" s="1240"/>
      <c r="AH61" s="1240"/>
    </row>
    <row r="62" spans="1:67" ht="15.75">
      <c r="A62" s="1224" t="s">
        <v>175</v>
      </c>
      <c r="B62" s="1241" t="s">
        <v>142</v>
      </c>
      <c r="C62" s="1242">
        <v>2.5</v>
      </c>
      <c r="D62" s="1242">
        <v>2.5</v>
      </c>
      <c r="E62" s="1242">
        <v>2.5</v>
      </c>
      <c r="F62" s="1242">
        <v>2.5</v>
      </c>
      <c r="G62" s="1242">
        <v>2.5</v>
      </c>
      <c r="H62" s="1242">
        <v>2.5</v>
      </c>
      <c r="I62" s="1242">
        <v>2.5</v>
      </c>
      <c r="J62" s="1242">
        <v>2.5</v>
      </c>
      <c r="K62" s="1242">
        <v>2.5</v>
      </c>
      <c r="L62" s="1242">
        <v>2.5</v>
      </c>
      <c r="M62" s="1242">
        <v>2.5</v>
      </c>
      <c r="N62" s="1242">
        <v>2.5</v>
      </c>
      <c r="O62" s="1242">
        <v>2.5</v>
      </c>
      <c r="P62" s="1242">
        <v>2.5</v>
      </c>
      <c r="Q62" s="1242">
        <v>2.5</v>
      </c>
      <c r="R62" s="1242">
        <v>2.5</v>
      </c>
      <c r="S62" s="1242">
        <v>2.5</v>
      </c>
      <c r="T62" s="1242">
        <v>2.5</v>
      </c>
      <c r="U62" s="1242">
        <v>2.5</v>
      </c>
      <c r="V62" s="1242">
        <v>2.5</v>
      </c>
      <c r="W62" s="1242">
        <v>2.5</v>
      </c>
      <c r="X62" s="1242">
        <v>2.5</v>
      </c>
      <c r="Y62" s="1242">
        <v>2.5</v>
      </c>
      <c r="Z62" s="1242">
        <v>2.5</v>
      </c>
      <c r="AA62" s="1242">
        <v>2.5</v>
      </c>
      <c r="AB62" s="1242">
        <v>2.5</v>
      </c>
      <c r="AC62" s="1242">
        <v>2.5</v>
      </c>
      <c r="AD62" s="1242">
        <v>2.5</v>
      </c>
      <c r="AE62" s="1242"/>
      <c r="AF62" s="1242"/>
      <c r="AG62" s="1242"/>
      <c r="AH62" s="1232">
        <f>SUM(C62:AG62)</f>
        <v>70</v>
      </c>
      <c r="AI62" s="1768">
        <f>$C$62*$C$2+$D$62*$D$2+$E$62*$E$2+$F$62*$F$2+$G$62*$G$2+$H$62*$H$2+$I$62*$I$2+$J$62*$J$2+$K$62*$K$2+$L$62*$L$2+$M$62*$M$2+$N$62*$N$2+$O$62*$O$2+$P$62*$P$2+$Q$62*$Q$2+$R$62*$R$2+$S$62*$S$2+$T$62*$T$2+$U$62*$U$2+$V$62*$V$2+$W$62*$W$2+$X$62*$X$2+$Y$62*$Y$2+$Z$62*$Z$2+$AA$62*$AA$2+$AB$62*$AB$2+$AC$62*$AC$2+$AD$62*$AD$2</f>
        <v>1015</v>
      </c>
    </row>
    <row r="63" spans="1:67" ht="15.75">
      <c r="A63" s="1212" t="s">
        <v>176</v>
      </c>
      <c r="B63" s="1241" t="s">
        <v>142</v>
      </c>
      <c r="C63" s="1242">
        <v>5</v>
      </c>
      <c r="D63" s="1242">
        <v>5</v>
      </c>
      <c r="E63" s="1242">
        <v>5</v>
      </c>
      <c r="F63" s="1242">
        <v>5</v>
      </c>
      <c r="G63" s="1242">
        <v>5</v>
      </c>
      <c r="H63" s="1242">
        <v>5</v>
      </c>
      <c r="I63" s="1242">
        <v>5</v>
      </c>
      <c r="J63" s="1242">
        <v>5</v>
      </c>
      <c r="K63" s="1242">
        <v>5</v>
      </c>
      <c r="L63" s="1242">
        <v>5</v>
      </c>
      <c r="M63" s="1242">
        <v>5</v>
      </c>
      <c r="N63" s="1242">
        <v>5</v>
      </c>
      <c r="O63" s="1242">
        <v>5</v>
      </c>
      <c r="P63" s="1242">
        <v>5</v>
      </c>
      <c r="Q63" s="1242">
        <v>5</v>
      </c>
      <c r="R63" s="1242">
        <v>5</v>
      </c>
      <c r="S63" s="1242">
        <v>5</v>
      </c>
      <c r="T63" s="1242">
        <v>5</v>
      </c>
      <c r="U63" s="1242">
        <v>5</v>
      </c>
      <c r="V63" s="1242">
        <v>5</v>
      </c>
      <c r="W63" s="1242">
        <v>5</v>
      </c>
      <c r="X63" s="1242">
        <v>5</v>
      </c>
      <c r="Y63" s="1242">
        <v>5</v>
      </c>
      <c r="Z63" s="1242">
        <v>5</v>
      </c>
      <c r="AA63" s="1242">
        <v>5</v>
      </c>
      <c r="AB63" s="1242">
        <v>5</v>
      </c>
      <c r="AC63" s="1242">
        <v>5</v>
      </c>
      <c r="AD63" s="1242">
        <v>5</v>
      </c>
      <c r="AE63" s="1242"/>
      <c r="AF63" s="1242"/>
      <c r="AG63" s="1242"/>
      <c r="AH63" s="1232">
        <f>SUM(C63:AG63)</f>
        <v>140</v>
      </c>
      <c r="AI63" s="1768">
        <f>$C$63*$C$2+$D$63*$D$2+$E$63*$E$2+$F$63*$F$2+$G$63*$G$2+$H$63*$H$2+$I$63*$I$2+$J$63*$J$2+$K$63*$K$2+$L$63*$L$2+$M$63*$M$2+$N$63*$N$2+$O$63*$O$2+$P$63*$P$2+$Q$63*$Q$2+$R$63*$R$2+$S$63*$S$2+$T$63*$T$2+$U$63*$U$2+$V$63*$V$2+$W$63*$W$2+$X$63*$X$2+$Y$63*$Y$2+$Z$63*$Z$2+$AA$63*$AA$2+$AB$63*$AB$2+$AC$63*$AC$2+$AD$63*$AD$2</f>
        <v>2030</v>
      </c>
    </row>
    <row r="64" spans="1:67" ht="15.75">
      <c r="A64" s="1212" t="s">
        <v>152</v>
      </c>
      <c r="B64" s="1212" t="s">
        <v>142</v>
      </c>
      <c r="C64" s="1242"/>
      <c r="D64" s="1242">
        <v>5.3571428571428568</v>
      </c>
      <c r="E64" s="1242">
        <v>5.3571428571428568</v>
      </c>
      <c r="F64" s="1242">
        <v>5.3571428571428568</v>
      </c>
      <c r="G64" s="1242">
        <v>5.3571428571428568</v>
      </c>
      <c r="H64" s="1242">
        <v>5.3571428571428568</v>
      </c>
      <c r="I64" s="1242">
        <v>5.3571428571428568</v>
      </c>
      <c r="J64" s="1242">
        <v>5.3571428571428568</v>
      </c>
      <c r="K64" s="1242">
        <v>5.3571428571428568</v>
      </c>
      <c r="L64" s="1242">
        <v>5.3571428571428568</v>
      </c>
      <c r="M64" s="1242">
        <v>5.3571428571428568</v>
      </c>
      <c r="N64" s="1242">
        <v>5.3571428571428568</v>
      </c>
      <c r="O64" s="1242">
        <v>5.3571428571428568</v>
      </c>
      <c r="P64" s="1242">
        <v>5.3571428571428568</v>
      </c>
      <c r="Q64" s="1242">
        <v>5.3571428571428568</v>
      </c>
      <c r="R64" s="1242">
        <v>5.3571428571428568</v>
      </c>
      <c r="S64" s="1242">
        <v>5.3571428571428568</v>
      </c>
      <c r="T64" s="1242">
        <v>5.3571428571428568</v>
      </c>
      <c r="U64" s="1242">
        <v>5.3571428571428568</v>
      </c>
      <c r="V64" s="1242">
        <v>5.3571428571428568</v>
      </c>
      <c r="W64" s="1242">
        <v>5.3571428571428568</v>
      </c>
      <c r="X64" s="1242">
        <v>5.3571428571428568</v>
      </c>
      <c r="Y64" s="1242">
        <v>5.3571428571428568</v>
      </c>
      <c r="Z64" s="1242">
        <v>5.3571428571428568</v>
      </c>
      <c r="AA64" s="1242">
        <v>5.3571428571428568</v>
      </c>
      <c r="AB64" s="1242">
        <v>5.3571428571428568</v>
      </c>
      <c r="AC64" s="1242">
        <v>5.3571428571428568</v>
      </c>
      <c r="AD64" s="1242">
        <v>0</v>
      </c>
      <c r="AE64" s="1242"/>
      <c r="AF64" s="1242"/>
      <c r="AG64" s="1242"/>
      <c r="AH64" s="1232">
        <f>SUM(C64:AG64)</f>
        <v>139.28571428571431</v>
      </c>
    </row>
    <row r="65" spans="1:37" ht="15.75">
      <c r="A65" s="1243" t="s">
        <v>177</v>
      </c>
      <c r="B65" s="1243" t="s">
        <v>178</v>
      </c>
      <c r="C65" s="1244">
        <f>C64+C63+C62</f>
        <v>7.5</v>
      </c>
      <c r="D65" s="1244">
        <f t="shared" ref="D65:AD65" si="18">D64+D63+D62</f>
        <v>12.857142857142858</v>
      </c>
      <c r="E65" s="1244">
        <f t="shared" si="18"/>
        <v>12.857142857142858</v>
      </c>
      <c r="F65" s="1244">
        <f t="shared" si="18"/>
        <v>12.857142857142858</v>
      </c>
      <c r="G65" s="1244">
        <f t="shared" si="18"/>
        <v>12.857142857142858</v>
      </c>
      <c r="H65" s="1244">
        <f t="shared" si="18"/>
        <v>12.857142857142858</v>
      </c>
      <c r="I65" s="1244">
        <f t="shared" si="18"/>
        <v>12.857142857142858</v>
      </c>
      <c r="J65" s="1244">
        <f t="shared" si="18"/>
        <v>12.857142857142858</v>
      </c>
      <c r="K65" s="1244">
        <f t="shared" si="18"/>
        <v>12.857142857142858</v>
      </c>
      <c r="L65" s="1244">
        <f t="shared" si="18"/>
        <v>12.857142857142858</v>
      </c>
      <c r="M65" s="1244">
        <f t="shared" si="18"/>
        <v>12.857142857142858</v>
      </c>
      <c r="N65" s="1244">
        <f t="shared" si="18"/>
        <v>12.857142857142858</v>
      </c>
      <c r="O65" s="1244">
        <f t="shared" si="18"/>
        <v>12.857142857142858</v>
      </c>
      <c r="P65" s="1244">
        <f t="shared" si="18"/>
        <v>12.857142857142858</v>
      </c>
      <c r="Q65" s="1244">
        <f t="shared" si="18"/>
        <v>12.857142857142858</v>
      </c>
      <c r="R65" s="1244">
        <f t="shared" si="18"/>
        <v>12.857142857142858</v>
      </c>
      <c r="S65" s="1244">
        <f t="shared" si="18"/>
        <v>12.857142857142858</v>
      </c>
      <c r="T65" s="1244">
        <f t="shared" si="18"/>
        <v>12.857142857142858</v>
      </c>
      <c r="U65" s="1244">
        <f t="shared" si="18"/>
        <v>12.857142857142858</v>
      </c>
      <c r="V65" s="1244">
        <f t="shared" si="18"/>
        <v>12.857142857142858</v>
      </c>
      <c r="W65" s="1244">
        <f t="shared" si="18"/>
        <v>12.857142857142858</v>
      </c>
      <c r="X65" s="1244">
        <f t="shared" si="18"/>
        <v>12.857142857142858</v>
      </c>
      <c r="Y65" s="1244">
        <f t="shared" si="18"/>
        <v>12.857142857142858</v>
      </c>
      <c r="Z65" s="1244">
        <f t="shared" si="18"/>
        <v>12.857142857142858</v>
      </c>
      <c r="AA65" s="1244">
        <f t="shared" si="18"/>
        <v>12.857142857142858</v>
      </c>
      <c r="AB65" s="1244">
        <f t="shared" si="18"/>
        <v>12.857142857142858</v>
      </c>
      <c r="AC65" s="1244">
        <f t="shared" si="18"/>
        <v>12.857142857142858</v>
      </c>
      <c r="AD65" s="1244">
        <f t="shared" si="18"/>
        <v>7.5</v>
      </c>
      <c r="AE65" s="1244"/>
      <c r="AF65" s="1244"/>
      <c r="AG65" s="1244"/>
      <c r="AH65" s="1232">
        <f>SUM(C65:AG65)</f>
        <v>349.28571428571416</v>
      </c>
      <c r="AI65" s="1245"/>
    </row>
    <row r="66" spans="1:37" ht="8.25" customHeight="1">
      <c r="A66" s="1233"/>
      <c r="B66" s="1234"/>
      <c r="C66" s="1234"/>
      <c r="D66" s="1234"/>
      <c r="E66" s="1234"/>
      <c r="F66" s="1234"/>
      <c r="G66" s="1234"/>
      <c r="H66" s="1234"/>
      <c r="I66" s="1234"/>
      <c r="J66" s="1234"/>
      <c r="K66" s="1234"/>
      <c r="L66" s="1234"/>
      <c r="M66" s="1234"/>
      <c r="N66" s="1234"/>
      <c r="O66" s="1234"/>
      <c r="P66" s="1234"/>
      <c r="Q66" s="1234"/>
      <c r="R66" s="1234"/>
      <c r="S66" s="1234"/>
      <c r="T66" s="1234"/>
      <c r="U66" s="1234"/>
      <c r="V66" s="1234"/>
      <c r="W66" s="1234"/>
      <c r="X66" s="1234"/>
      <c r="Y66" s="1234"/>
      <c r="Z66" s="1234"/>
      <c r="AA66" s="1234"/>
      <c r="AB66" s="1234"/>
      <c r="AC66" s="1234"/>
      <c r="AD66" s="1234"/>
      <c r="AE66" s="1234"/>
      <c r="AF66" s="1234"/>
      <c r="AG66" s="1234"/>
      <c r="AH66" s="1235"/>
    </row>
    <row r="67" spans="1:37" ht="15.75" hidden="1">
      <c r="A67" s="1224" t="s">
        <v>179</v>
      </c>
      <c r="B67" s="1241" t="s">
        <v>142</v>
      </c>
      <c r="C67" s="1242">
        <v>10</v>
      </c>
      <c r="D67" s="1242">
        <v>10</v>
      </c>
      <c r="E67" s="1242">
        <v>10</v>
      </c>
      <c r="F67" s="1242">
        <v>10</v>
      </c>
      <c r="G67" s="1242">
        <v>10</v>
      </c>
      <c r="H67" s="1242">
        <v>10</v>
      </c>
      <c r="I67" s="1242">
        <v>10</v>
      </c>
      <c r="J67" s="1242">
        <v>10</v>
      </c>
      <c r="K67" s="1242">
        <v>10</v>
      </c>
      <c r="L67" s="1242">
        <v>10</v>
      </c>
      <c r="M67" s="1242">
        <v>10</v>
      </c>
      <c r="N67" s="1242">
        <v>10</v>
      </c>
      <c r="O67" s="1242">
        <v>10</v>
      </c>
      <c r="P67" s="1242">
        <v>10</v>
      </c>
      <c r="Q67" s="1242">
        <v>10</v>
      </c>
      <c r="R67" s="1242">
        <v>10</v>
      </c>
      <c r="S67" s="1242">
        <v>10</v>
      </c>
      <c r="T67" s="1242">
        <v>10</v>
      </c>
      <c r="U67" s="1242">
        <v>10</v>
      </c>
      <c r="V67" s="1242">
        <v>10</v>
      </c>
      <c r="W67" s="1242">
        <v>10</v>
      </c>
      <c r="X67" s="1242">
        <v>10</v>
      </c>
      <c r="Y67" s="1242">
        <v>10</v>
      </c>
      <c r="Z67" s="1242">
        <v>10</v>
      </c>
      <c r="AA67" s="1242">
        <v>10</v>
      </c>
      <c r="AB67" s="1242">
        <v>10</v>
      </c>
      <c r="AC67" s="1242">
        <v>10</v>
      </c>
      <c r="AD67" s="1242">
        <v>10</v>
      </c>
      <c r="AE67" s="1242"/>
      <c r="AF67" s="1242"/>
      <c r="AG67" s="1242"/>
      <c r="AH67" s="1246">
        <f>SUM(C67:AG67)</f>
        <v>280</v>
      </c>
    </row>
    <row r="68" spans="1:37" ht="15.75" hidden="1">
      <c r="A68" s="1224" t="s">
        <v>180</v>
      </c>
      <c r="B68" s="1241" t="s">
        <v>142</v>
      </c>
      <c r="C68" s="1242">
        <f>C67-$T$81</f>
        <v>0</v>
      </c>
      <c r="D68" s="1242">
        <f t="shared" ref="D68:AD68" si="19">D67-$T$81</f>
        <v>0</v>
      </c>
      <c r="E68" s="1242">
        <f t="shared" si="19"/>
        <v>0</v>
      </c>
      <c r="F68" s="1242">
        <f t="shared" si="19"/>
        <v>0</v>
      </c>
      <c r="G68" s="1242">
        <f t="shared" si="19"/>
        <v>0</v>
      </c>
      <c r="H68" s="1242">
        <f t="shared" si="19"/>
        <v>0</v>
      </c>
      <c r="I68" s="1242">
        <f t="shared" si="19"/>
        <v>0</v>
      </c>
      <c r="J68" s="1242">
        <f t="shared" si="19"/>
        <v>0</v>
      </c>
      <c r="K68" s="1242">
        <f t="shared" si="19"/>
        <v>0</v>
      </c>
      <c r="L68" s="1242">
        <f t="shared" si="19"/>
        <v>0</v>
      </c>
      <c r="M68" s="1242">
        <f t="shared" si="19"/>
        <v>0</v>
      </c>
      <c r="N68" s="1242">
        <f t="shared" si="19"/>
        <v>0</v>
      </c>
      <c r="O68" s="1242">
        <f t="shared" si="19"/>
        <v>0</v>
      </c>
      <c r="P68" s="1242">
        <f t="shared" si="19"/>
        <v>0</v>
      </c>
      <c r="Q68" s="1242">
        <f t="shared" si="19"/>
        <v>0</v>
      </c>
      <c r="R68" s="1242">
        <f t="shared" si="19"/>
        <v>0</v>
      </c>
      <c r="S68" s="1242">
        <f t="shared" si="19"/>
        <v>0</v>
      </c>
      <c r="T68" s="1242">
        <f t="shared" si="19"/>
        <v>0</v>
      </c>
      <c r="U68" s="1242">
        <f t="shared" si="19"/>
        <v>0</v>
      </c>
      <c r="V68" s="1242">
        <f t="shared" si="19"/>
        <v>0</v>
      </c>
      <c r="W68" s="1242">
        <f t="shared" si="19"/>
        <v>0</v>
      </c>
      <c r="X68" s="1242">
        <f t="shared" si="19"/>
        <v>0</v>
      </c>
      <c r="Y68" s="1242">
        <f t="shared" si="19"/>
        <v>0</v>
      </c>
      <c r="Z68" s="1242">
        <f t="shared" si="19"/>
        <v>0</v>
      </c>
      <c r="AA68" s="1242">
        <f t="shared" si="19"/>
        <v>0</v>
      </c>
      <c r="AB68" s="1242">
        <f t="shared" si="19"/>
        <v>0</v>
      </c>
      <c r="AC68" s="1242">
        <f t="shared" si="19"/>
        <v>0</v>
      </c>
      <c r="AD68" s="1242">
        <f t="shared" si="19"/>
        <v>0</v>
      </c>
      <c r="AE68" s="1242"/>
      <c r="AF68" s="1242"/>
      <c r="AG68" s="1242"/>
      <c r="AH68" s="1246">
        <f>SUM(C68:AG68)</f>
        <v>0</v>
      </c>
    </row>
    <row r="69" spans="1:37" ht="8.25" customHeight="1">
      <c r="A69" s="1233"/>
      <c r="B69" s="1234"/>
      <c r="C69" s="1234"/>
      <c r="D69" s="1234"/>
      <c r="E69" s="1234"/>
      <c r="F69" s="1234"/>
      <c r="G69" s="1234"/>
      <c r="H69" s="1234"/>
      <c r="I69" s="1234"/>
      <c r="J69" s="1234"/>
      <c r="K69" s="1234"/>
      <c r="L69" s="1234"/>
      <c r="M69" s="1234"/>
      <c r="N69" s="1234"/>
      <c r="O69" s="1234"/>
      <c r="P69" s="1234"/>
      <c r="Q69" s="1234"/>
      <c r="R69" s="1234"/>
      <c r="S69" s="1234"/>
      <c r="T69" s="1234"/>
      <c r="U69" s="1234"/>
      <c r="V69" s="1234"/>
      <c r="W69" s="1234"/>
      <c r="X69" s="1234"/>
      <c r="Y69" s="1234"/>
      <c r="Z69" s="1234"/>
      <c r="AA69" s="1234"/>
      <c r="AB69" s="1234"/>
      <c r="AC69" s="1234"/>
      <c r="AD69" s="1234"/>
      <c r="AE69" s="1234"/>
      <c r="AF69" s="1234"/>
      <c r="AG69" s="1234"/>
      <c r="AH69" s="1235"/>
    </row>
    <row r="70" spans="1:37" ht="15.75">
      <c r="A70" s="1224" t="s">
        <v>181</v>
      </c>
      <c r="B70" s="1241" t="s">
        <v>142</v>
      </c>
      <c r="C70" s="1769">
        <f>D37*0.5+E37*0.1</f>
        <v>11.792857142857143</v>
      </c>
      <c r="D70" s="1769">
        <f t="shared" ref="D70:Z70" si="20">E37*0.5+F37*0.1</f>
        <v>29.392857142857142</v>
      </c>
      <c r="E70" s="1769">
        <f t="shared" si="20"/>
        <v>7.3928571428571423</v>
      </c>
      <c r="F70" s="1769">
        <f>G37*0.5+H37*0.1</f>
        <v>11.592857142857142</v>
      </c>
      <c r="G70" s="1769">
        <f t="shared" si="20"/>
        <v>28.392857142857142</v>
      </c>
      <c r="H70" s="1769">
        <f t="shared" si="20"/>
        <v>7.3928571428571423</v>
      </c>
      <c r="I70" s="1769">
        <f t="shared" si="20"/>
        <v>18.992857142857144</v>
      </c>
      <c r="J70" s="1769">
        <f t="shared" si="20"/>
        <v>65.392857142857153</v>
      </c>
      <c r="K70" s="1769">
        <f t="shared" si="20"/>
        <v>7.3928571428571423</v>
      </c>
      <c r="L70" s="1769">
        <f t="shared" si="20"/>
        <v>10.392857142857142</v>
      </c>
      <c r="M70" s="1769">
        <f t="shared" si="20"/>
        <v>22.392857142857142</v>
      </c>
      <c r="N70" s="1769">
        <f t="shared" si="20"/>
        <v>7.3928571428571423</v>
      </c>
      <c r="O70" s="1769">
        <f t="shared" si="20"/>
        <v>7.3928571428571423</v>
      </c>
      <c r="P70" s="1769">
        <f t="shared" si="20"/>
        <v>7.3928571428571423</v>
      </c>
      <c r="Q70" s="1769">
        <f t="shared" si="20"/>
        <v>7.3928571428571423</v>
      </c>
      <c r="R70" s="1769">
        <f t="shared" si="20"/>
        <v>7.3928571428571423</v>
      </c>
      <c r="S70" s="1769">
        <f t="shared" si="20"/>
        <v>7.3928571428571423</v>
      </c>
      <c r="T70" s="1769">
        <f>U37*0.5+V37*0.1</f>
        <v>9.5928571428571416</v>
      </c>
      <c r="U70" s="1769">
        <f t="shared" si="20"/>
        <v>18.392857142857142</v>
      </c>
      <c r="V70" s="1769">
        <f t="shared" si="20"/>
        <v>7.3928571428571423</v>
      </c>
      <c r="W70" s="1769">
        <f t="shared" si="20"/>
        <v>7.3928571428571423</v>
      </c>
      <c r="X70" s="1769">
        <f t="shared" si="20"/>
        <v>7.3928571428571423</v>
      </c>
      <c r="Y70" s="1769">
        <f t="shared" si="20"/>
        <v>7.3928571428571423</v>
      </c>
      <c r="Z70" s="1769">
        <f t="shared" si="20"/>
        <v>7.3928571428571423</v>
      </c>
      <c r="AA70" s="1769">
        <f>AB37*0.5+AC37*0.1</f>
        <v>7.3928571428571423</v>
      </c>
      <c r="AB70" s="1769">
        <v>14</v>
      </c>
      <c r="AC70" s="1769">
        <v>20</v>
      </c>
      <c r="AD70" s="1769">
        <v>0</v>
      </c>
      <c r="AE70" s="1769"/>
      <c r="AF70" s="1769"/>
      <c r="AG70" s="1769"/>
      <c r="AH70" s="1246">
        <f>SUM(C70:AG70)</f>
        <v>371.22142857142876</v>
      </c>
    </row>
    <row r="71" spans="1:37" ht="15.75">
      <c r="A71" s="1224" t="s">
        <v>182</v>
      </c>
      <c r="B71" s="1241" t="s">
        <v>142</v>
      </c>
      <c r="C71" s="1242">
        <f>C70-$D$81</f>
        <v>11.792857142857143</v>
      </c>
      <c r="D71" s="1242">
        <f>D70-$D$81</f>
        <v>29.392857142857142</v>
      </c>
      <c r="E71" s="1242">
        <f>E70-$D$81</f>
        <v>7.3928571428571423</v>
      </c>
      <c r="F71" s="1242">
        <f>F70-$D$81</f>
        <v>11.592857142857142</v>
      </c>
      <c r="G71" s="1242">
        <f>G70-$D$81</f>
        <v>28.392857142857142</v>
      </c>
      <c r="H71" s="1242">
        <f t="shared" ref="H71:AB71" si="21">H70-$D$81</f>
        <v>7.3928571428571423</v>
      </c>
      <c r="I71" s="1242">
        <f>I70-$D$81</f>
        <v>18.992857142857144</v>
      </c>
      <c r="J71" s="1242">
        <f t="shared" si="21"/>
        <v>65.392857142857153</v>
      </c>
      <c r="K71" s="1242">
        <f t="shared" si="21"/>
        <v>7.3928571428571423</v>
      </c>
      <c r="L71" s="1242">
        <f t="shared" si="21"/>
        <v>10.392857142857142</v>
      </c>
      <c r="M71" s="1242">
        <f t="shared" si="21"/>
        <v>22.392857142857142</v>
      </c>
      <c r="N71" s="1242">
        <f t="shared" si="21"/>
        <v>7.3928571428571423</v>
      </c>
      <c r="O71" s="1242">
        <f t="shared" si="21"/>
        <v>7.3928571428571423</v>
      </c>
      <c r="P71" s="1242">
        <f t="shared" si="21"/>
        <v>7.3928571428571423</v>
      </c>
      <c r="Q71" s="1242">
        <f t="shared" si="21"/>
        <v>7.3928571428571423</v>
      </c>
      <c r="R71" s="1242">
        <f t="shared" si="21"/>
        <v>7.3928571428571423</v>
      </c>
      <c r="S71" s="1242">
        <f t="shared" si="21"/>
        <v>7.3928571428571423</v>
      </c>
      <c r="T71" s="1242">
        <f t="shared" si="21"/>
        <v>9.5928571428571416</v>
      </c>
      <c r="U71" s="1242">
        <f t="shared" si="21"/>
        <v>18.392857142857142</v>
      </c>
      <c r="V71" s="1242">
        <f t="shared" si="21"/>
        <v>7.3928571428571423</v>
      </c>
      <c r="W71" s="1242">
        <f t="shared" si="21"/>
        <v>7.3928571428571423</v>
      </c>
      <c r="X71" s="1242">
        <f t="shared" si="21"/>
        <v>7.3928571428571423</v>
      </c>
      <c r="Y71" s="1242">
        <f>Y70-$D$81</f>
        <v>7.3928571428571423</v>
      </c>
      <c r="Z71" s="1242">
        <f t="shared" si="21"/>
        <v>7.3928571428571423</v>
      </c>
      <c r="AA71" s="1242">
        <f t="shared" si="21"/>
        <v>7.3928571428571423</v>
      </c>
      <c r="AB71" s="1242">
        <f t="shared" si="21"/>
        <v>14</v>
      </c>
      <c r="AC71" s="1242">
        <f>AC70-$D$81</f>
        <v>20</v>
      </c>
      <c r="AD71" s="1242">
        <f>AD70-$D$81</f>
        <v>0</v>
      </c>
      <c r="AE71" s="1242"/>
      <c r="AF71" s="1242"/>
      <c r="AG71" s="1242"/>
      <c r="AH71" s="1246">
        <f>SUM(C71:AG71)</f>
        <v>371.22142857142876</v>
      </c>
    </row>
    <row r="72" spans="1:37" ht="8.25" customHeight="1" thickBot="1">
      <c r="A72" s="1233"/>
      <c r="B72" s="1234"/>
      <c r="C72" s="1234"/>
      <c r="D72" s="1234"/>
      <c r="E72" s="1234"/>
      <c r="F72" s="1234"/>
      <c r="G72" s="1234"/>
      <c r="H72" s="1234"/>
      <c r="I72" s="1234"/>
      <c r="J72" s="1234"/>
      <c r="K72" s="1234"/>
      <c r="L72" s="1234"/>
      <c r="M72" s="1234"/>
      <c r="N72" s="1234"/>
      <c r="O72" s="1234"/>
      <c r="P72" s="1234"/>
      <c r="Q72" s="1234"/>
      <c r="R72" s="1234"/>
      <c r="S72" s="1234"/>
      <c r="T72" s="1234"/>
      <c r="U72" s="1234"/>
      <c r="V72" s="1234"/>
      <c r="W72" s="1234"/>
      <c r="X72" s="1234"/>
      <c r="Y72" s="1234"/>
      <c r="Z72" s="1234"/>
      <c r="AA72" s="1234"/>
      <c r="AB72" s="1234"/>
      <c r="AC72" s="1234"/>
      <c r="AD72" s="1234"/>
      <c r="AE72" s="1234"/>
      <c r="AF72" s="1234"/>
      <c r="AG72" s="1234"/>
      <c r="AH72" s="1235"/>
    </row>
    <row r="73" spans="1:37" ht="15.75" hidden="1">
      <c r="A73" s="1631"/>
      <c r="B73" s="1241"/>
      <c r="C73" s="1242"/>
      <c r="D73" s="1242"/>
      <c r="E73" s="1242"/>
      <c r="F73" s="1242"/>
      <c r="G73" s="1242"/>
      <c r="H73" s="1242"/>
      <c r="I73" s="1242"/>
      <c r="J73" s="1242"/>
      <c r="K73" s="1242"/>
      <c r="L73" s="1242"/>
      <c r="M73" s="1242"/>
      <c r="N73" s="1242"/>
      <c r="O73" s="1242"/>
      <c r="P73" s="1242"/>
      <c r="Q73" s="1242"/>
      <c r="R73" s="1242"/>
      <c r="S73" s="1242"/>
      <c r="T73" s="1242"/>
      <c r="U73" s="1242"/>
      <c r="V73" s="1242"/>
      <c r="W73" s="1242"/>
      <c r="X73" s="1242"/>
      <c r="Y73" s="1242"/>
      <c r="Z73" s="1242"/>
      <c r="AA73" s="1242"/>
      <c r="AB73" s="1242"/>
      <c r="AC73" s="1242"/>
      <c r="AD73" s="1242"/>
      <c r="AE73" s="1242"/>
      <c r="AF73" s="1242"/>
      <c r="AG73" s="1242"/>
      <c r="AH73" s="1246"/>
    </row>
    <row r="74" spans="1:37" ht="16.5" hidden="1" thickBot="1">
      <c r="A74" s="1629"/>
      <c r="B74" s="1241"/>
      <c r="C74" s="1630"/>
      <c r="D74" s="1630"/>
      <c r="E74" s="1630"/>
      <c r="F74" s="1630"/>
      <c r="G74" s="1630"/>
      <c r="H74" s="1630"/>
      <c r="I74" s="1630"/>
      <c r="J74" s="1630"/>
      <c r="K74" s="1630"/>
      <c r="L74" s="1630"/>
      <c r="M74" s="1630"/>
      <c r="N74" s="1630"/>
      <c r="O74" s="1630"/>
      <c r="P74" s="1630"/>
      <c r="Q74" s="1630"/>
      <c r="R74" s="1630"/>
      <c r="S74" s="1630"/>
      <c r="T74" s="1630"/>
      <c r="U74" s="1630"/>
      <c r="V74" s="1630"/>
      <c r="W74" s="1630"/>
      <c r="X74" s="1630"/>
      <c r="Y74" s="1630"/>
      <c r="Z74" s="1630"/>
      <c r="AA74" s="1630"/>
      <c r="AB74" s="1630"/>
      <c r="AC74" s="1630"/>
      <c r="AD74" s="1630"/>
      <c r="AE74" s="1630"/>
      <c r="AF74" s="1630"/>
      <c r="AG74" s="1630"/>
      <c r="AH74" s="1246"/>
    </row>
    <row r="75" spans="1:37" ht="6" customHeight="1" thickBot="1">
      <c r="A75" s="1247"/>
      <c r="B75" s="1248"/>
      <c r="C75" s="1249"/>
      <c r="D75" s="1249"/>
      <c r="E75" s="1249"/>
      <c r="F75" s="1249"/>
      <c r="G75" s="1249"/>
      <c r="H75" s="1249"/>
      <c r="I75" s="1249"/>
      <c r="J75" s="1249"/>
      <c r="K75" s="1249"/>
      <c r="L75" s="1249"/>
      <c r="M75" s="1249"/>
      <c r="N75" s="1249"/>
      <c r="O75" s="1249"/>
      <c r="P75" s="1249"/>
      <c r="Q75" s="1249"/>
      <c r="R75" s="1249"/>
      <c r="S75" s="1249"/>
      <c r="T75" s="1249"/>
      <c r="U75" s="1249"/>
      <c r="V75" s="1249"/>
      <c r="W75" s="1249"/>
      <c r="X75" s="1249"/>
      <c r="Y75" s="1249"/>
      <c r="Z75" s="1249"/>
      <c r="AA75" s="1249"/>
      <c r="AB75" s="1249"/>
      <c r="AC75" s="1249"/>
      <c r="AD75" s="1249"/>
      <c r="AE75" s="1249"/>
      <c r="AF75" s="1249"/>
      <c r="AG75" s="1249"/>
      <c r="AH75" s="1250"/>
    </row>
    <row r="76" spans="1:37" ht="15.75">
      <c r="A76" s="1251" t="s">
        <v>183</v>
      </c>
      <c r="B76" s="1252" t="s">
        <v>142</v>
      </c>
      <c r="C76" s="1253">
        <f>'РАСЧЕТ (ИЗМ)'!I11</f>
        <v>8189.5806451612907</v>
      </c>
      <c r="D76" s="1253">
        <f t="shared" ref="D76:AD76" si="22">$C$76</f>
        <v>8189.5806451612907</v>
      </c>
      <c r="E76" s="1253">
        <f t="shared" si="22"/>
        <v>8189.5806451612907</v>
      </c>
      <c r="F76" s="1253">
        <f t="shared" si="22"/>
        <v>8189.5806451612907</v>
      </c>
      <c r="G76" s="1253">
        <f t="shared" si="22"/>
        <v>8189.5806451612907</v>
      </c>
      <c r="H76" s="1253">
        <f t="shared" si="22"/>
        <v>8189.5806451612907</v>
      </c>
      <c r="I76" s="1253">
        <f t="shared" si="22"/>
        <v>8189.5806451612907</v>
      </c>
      <c r="J76" s="1253">
        <f t="shared" si="22"/>
        <v>8189.5806451612907</v>
      </c>
      <c r="K76" s="1253">
        <f t="shared" si="22"/>
        <v>8189.5806451612907</v>
      </c>
      <c r="L76" s="1253">
        <f t="shared" si="22"/>
        <v>8189.5806451612907</v>
      </c>
      <c r="M76" s="1253">
        <f t="shared" si="22"/>
        <v>8189.5806451612907</v>
      </c>
      <c r="N76" s="1253">
        <f t="shared" si="22"/>
        <v>8189.5806451612907</v>
      </c>
      <c r="O76" s="1253">
        <f t="shared" si="22"/>
        <v>8189.5806451612907</v>
      </c>
      <c r="P76" s="1253">
        <f t="shared" si="22"/>
        <v>8189.5806451612907</v>
      </c>
      <c r="Q76" s="1253">
        <f t="shared" si="22"/>
        <v>8189.5806451612907</v>
      </c>
      <c r="R76" s="1253">
        <f t="shared" si="22"/>
        <v>8189.5806451612907</v>
      </c>
      <c r="S76" s="1253">
        <f t="shared" si="22"/>
        <v>8189.5806451612907</v>
      </c>
      <c r="T76" s="1253">
        <f t="shared" si="22"/>
        <v>8189.5806451612907</v>
      </c>
      <c r="U76" s="1253">
        <f t="shared" si="22"/>
        <v>8189.5806451612907</v>
      </c>
      <c r="V76" s="1253">
        <f t="shared" si="22"/>
        <v>8189.5806451612907</v>
      </c>
      <c r="W76" s="1253">
        <f t="shared" si="22"/>
        <v>8189.5806451612907</v>
      </c>
      <c r="X76" s="1253">
        <f t="shared" si="22"/>
        <v>8189.5806451612907</v>
      </c>
      <c r="Y76" s="1253">
        <f t="shared" si="22"/>
        <v>8189.5806451612907</v>
      </c>
      <c r="Z76" s="1253">
        <f t="shared" si="22"/>
        <v>8189.5806451612907</v>
      </c>
      <c r="AA76" s="1253">
        <f t="shared" si="22"/>
        <v>8189.5806451612907</v>
      </c>
      <c r="AB76" s="1253">
        <f t="shared" si="22"/>
        <v>8189.5806451612907</v>
      </c>
      <c r="AC76" s="1253">
        <f t="shared" si="22"/>
        <v>8189.5806451612907</v>
      </c>
      <c r="AD76" s="1253">
        <f t="shared" si="22"/>
        <v>8189.5806451612907</v>
      </c>
      <c r="AE76" s="1253"/>
      <c r="AF76" s="1253"/>
      <c r="AG76" s="1253"/>
      <c r="AH76" s="1254">
        <f>SUM(C76:AG76)</f>
        <v>229308.25806451624</v>
      </c>
    </row>
    <row r="77" spans="1:37" ht="15.75">
      <c r="A77" s="1255" t="s">
        <v>184</v>
      </c>
      <c r="B77" s="1256" t="s">
        <v>142</v>
      </c>
      <c r="C77" s="1231">
        <f>B79+C37-C57-C65+C71-C68</f>
        <v>8368.3285714285721</v>
      </c>
      <c r="D77" s="1231">
        <f t="shared" ref="D77:AD77" si="23">C77+D37-D57-D65+C64+D71-C71</f>
        <v>8372.1071428571449</v>
      </c>
      <c r="E77" s="1231">
        <f t="shared" si="23"/>
        <v>8385.6428571428605</v>
      </c>
      <c r="F77" s="1231">
        <f t="shared" si="23"/>
        <v>8381.3785714285768</v>
      </c>
      <c r="G77" s="1231">
        <f t="shared" si="23"/>
        <v>8389.7142857142917</v>
      </c>
      <c r="H77" s="1231">
        <f t="shared" si="23"/>
        <v>8402.2500000000073</v>
      </c>
      <c r="I77" s="1231">
        <f t="shared" si="23"/>
        <v>8405.3857142857232</v>
      </c>
      <c r="J77" s="1231">
        <f t="shared" si="23"/>
        <v>8435.3214285714384</v>
      </c>
      <c r="K77" s="1231">
        <f t="shared" si="23"/>
        <v>8484.857142857154</v>
      </c>
      <c r="L77" s="1231">
        <f t="shared" si="23"/>
        <v>8479.3928571428696</v>
      </c>
      <c r="M77" s="1231">
        <f t="shared" si="23"/>
        <v>8482.9285714285852</v>
      </c>
      <c r="N77" s="1231">
        <f t="shared" si="23"/>
        <v>8489.4642857143008</v>
      </c>
      <c r="O77" s="1231">
        <f t="shared" si="23"/>
        <v>8481.0000000000164</v>
      </c>
      <c r="P77" s="1231">
        <f t="shared" si="23"/>
        <v>8472.535714285732</v>
      </c>
      <c r="Q77" s="1231">
        <f t="shared" si="23"/>
        <v>8464.0714285714475</v>
      </c>
      <c r="R77" s="1231">
        <f t="shared" si="23"/>
        <v>8455.6071428571631</v>
      </c>
      <c r="S77" s="1231">
        <f t="shared" si="23"/>
        <v>8447.1428571428787</v>
      </c>
      <c r="T77" s="1231">
        <f t="shared" si="23"/>
        <v>8440.878571428595</v>
      </c>
      <c r="U77" s="1231">
        <f t="shared" si="23"/>
        <v>8441.2142857143099</v>
      </c>
      <c r="V77" s="1231">
        <f t="shared" si="23"/>
        <v>8416.7500000000255</v>
      </c>
      <c r="W77" s="1231">
        <f t="shared" si="23"/>
        <v>8408.2857142857411</v>
      </c>
      <c r="X77" s="1231">
        <f t="shared" si="23"/>
        <v>8399.8214285714566</v>
      </c>
      <c r="Y77" s="1231">
        <f t="shared" si="23"/>
        <v>8391.3571428571722</v>
      </c>
      <c r="Z77" s="1231">
        <f t="shared" si="23"/>
        <v>8382.8928571428878</v>
      </c>
      <c r="AA77" s="1231">
        <f t="shared" si="23"/>
        <v>8374.4285714286034</v>
      </c>
      <c r="AB77" s="1231">
        <f t="shared" si="23"/>
        <v>8372.5714285714621</v>
      </c>
      <c r="AC77" s="1231">
        <f t="shared" si="23"/>
        <v>8370.1071428571777</v>
      </c>
      <c r="AD77" s="1231">
        <f t="shared" si="23"/>
        <v>8436.0000000000364</v>
      </c>
      <c r="AE77" s="1231"/>
      <c r="AF77" s="1231"/>
      <c r="AG77" s="1231"/>
      <c r="AH77" s="1257">
        <f>SUM(C77:AG77)</f>
        <v>235831.43571428623</v>
      </c>
      <c r="AI77" s="1690">
        <f>'РАСЧЕТ (ИЗМ)'!J155</f>
        <v>235831.4357142857</v>
      </c>
      <c r="AJ77" s="1690">
        <f>'РАСЧЕТ (ИЗМ)'!J154</f>
        <v>8436</v>
      </c>
      <c r="AK77" s="1259"/>
    </row>
    <row r="78" spans="1:37">
      <c r="A78" s="1260" t="s">
        <v>185</v>
      </c>
      <c r="B78" s="1256" t="s">
        <v>142</v>
      </c>
      <c r="C78" s="1261">
        <f t="shared" ref="C78:AD78" si="24">C77-C76</f>
        <v>178.7479262672814</v>
      </c>
      <c r="D78" s="1261">
        <f>D77-D76</f>
        <v>182.52649769585423</v>
      </c>
      <c r="E78" s="1261">
        <f t="shared" si="24"/>
        <v>196.06221198156982</v>
      </c>
      <c r="F78" s="1261">
        <f t="shared" si="24"/>
        <v>191.79792626728613</v>
      </c>
      <c r="G78" s="1261">
        <f t="shared" si="24"/>
        <v>200.13364055300099</v>
      </c>
      <c r="H78" s="1261">
        <f t="shared" si="24"/>
        <v>212.66935483871657</v>
      </c>
      <c r="I78" s="1261">
        <f t="shared" si="24"/>
        <v>215.80506912443252</v>
      </c>
      <c r="J78" s="1261">
        <f t="shared" si="24"/>
        <v>245.74078341014774</v>
      </c>
      <c r="K78" s="1261">
        <f t="shared" si="24"/>
        <v>295.27649769586333</v>
      </c>
      <c r="L78" s="1261">
        <f t="shared" si="24"/>
        <v>289.81221198157891</v>
      </c>
      <c r="M78" s="1261">
        <f t="shared" si="24"/>
        <v>293.3479262672945</v>
      </c>
      <c r="N78" s="1261">
        <f t="shared" si="24"/>
        <v>299.88364055301008</v>
      </c>
      <c r="O78" s="1261">
        <f t="shared" si="24"/>
        <v>291.41935483872567</v>
      </c>
      <c r="P78" s="1261">
        <f t="shared" si="24"/>
        <v>282.95506912444125</v>
      </c>
      <c r="Q78" s="1261">
        <f t="shared" si="24"/>
        <v>274.49078341015684</v>
      </c>
      <c r="R78" s="1261">
        <f t="shared" si="24"/>
        <v>266.02649769587242</v>
      </c>
      <c r="S78" s="1261">
        <f t="shared" si="24"/>
        <v>257.56221198158801</v>
      </c>
      <c r="T78" s="1261">
        <f t="shared" si="24"/>
        <v>251.29792626730432</v>
      </c>
      <c r="U78" s="1261">
        <f t="shared" si="24"/>
        <v>251.63364055301918</v>
      </c>
      <c r="V78" s="1261">
        <f t="shared" si="24"/>
        <v>227.16935483873476</v>
      </c>
      <c r="W78" s="1261">
        <f t="shared" si="24"/>
        <v>218.70506912445035</v>
      </c>
      <c r="X78" s="1261">
        <f t="shared" si="24"/>
        <v>210.24078341016593</v>
      </c>
      <c r="Y78" s="1261">
        <f t="shared" si="24"/>
        <v>201.77649769588152</v>
      </c>
      <c r="Z78" s="1261">
        <f t="shared" si="24"/>
        <v>193.3122119815971</v>
      </c>
      <c r="AA78" s="1261">
        <f t="shared" si="24"/>
        <v>184.84792626731269</v>
      </c>
      <c r="AB78" s="1261">
        <f t="shared" si="24"/>
        <v>182.99078341017139</v>
      </c>
      <c r="AC78" s="1261">
        <f t="shared" si="24"/>
        <v>180.52649769588697</v>
      </c>
      <c r="AD78" s="1261">
        <f t="shared" si="24"/>
        <v>246.41935483874568</v>
      </c>
      <c r="AE78" s="1261"/>
      <c r="AF78" s="1261"/>
      <c r="AG78" s="1261"/>
      <c r="AH78" s="1262">
        <f>SUM(C78:AG78)</f>
        <v>6523.1776497700903</v>
      </c>
      <c r="AI78" s="1913">
        <f>AH77-AI77</f>
        <v>5.2386894822120667E-10</v>
      </c>
      <c r="AJ78" s="1913">
        <f>AJ77-AD77</f>
        <v>-3.637978807091713E-11</v>
      </c>
    </row>
    <row r="79" spans="1:37">
      <c r="A79" s="1263" t="s">
        <v>186</v>
      </c>
      <c r="B79" s="1264">
        <f>'РАСЧЕТ (ИЗМ)'!J11</f>
        <v>8365</v>
      </c>
      <c r="C79" s="1265"/>
      <c r="D79" s="1265"/>
      <c r="E79" s="1265"/>
      <c r="F79" s="1265"/>
      <c r="G79" s="1265"/>
      <c r="H79" s="1265"/>
      <c r="I79" s="1265"/>
      <c r="J79" s="1265"/>
      <c r="K79" s="1265"/>
      <c r="L79" s="1265"/>
      <c r="M79" s="1265"/>
      <c r="N79" s="1265"/>
      <c r="O79" s="1265"/>
      <c r="P79" s="1265"/>
      <c r="Q79" s="1265"/>
      <c r="R79" s="1265"/>
      <c r="S79" s="1265"/>
      <c r="T79" s="1265"/>
      <c r="U79" s="1265"/>
      <c r="V79" s="1265"/>
      <c r="W79" s="1265"/>
      <c r="X79" s="1265"/>
      <c r="Y79" s="1265"/>
      <c r="Z79" s="1265"/>
      <c r="AA79" s="1265"/>
      <c r="AB79" s="1265"/>
      <c r="AC79" s="1265"/>
      <c r="AD79" s="1265"/>
      <c r="AE79" s="1265"/>
      <c r="AF79" s="1265"/>
      <c r="AG79" s="1265"/>
      <c r="AH79" s="1266"/>
      <c r="AJ79" s="1258"/>
      <c r="AK79" s="1267"/>
    </row>
    <row r="80" spans="1:37">
      <c r="A80" s="1268"/>
      <c r="B80" s="1770"/>
      <c r="C80" s="1771"/>
      <c r="D80" s="1269"/>
      <c r="E80" s="1269"/>
      <c r="F80" s="1269"/>
      <c r="G80" s="1269"/>
      <c r="H80" s="1269"/>
      <c r="I80" s="1269"/>
      <c r="J80" s="1269"/>
      <c r="K80" s="1269"/>
      <c r="L80" s="1269"/>
      <c r="M80" s="1269"/>
      <c r="N80" s="1269"/>
      <c r="O80" s="1269"/>
      <c r="P80" s="1269"/>
      <c r="Q80" s="1269"/>
      <c r="R80" s="1269"/>
      <c r="S80" s="1269"/>
      <c r="T80" s="1269"/>
      <c r="U80" s="1269"/>
      <c r="V80" s="1269"/>
      <c r="W80" s="1269"/>
      <c r="X80" s="1269"/>
      <c r="Y80" s="1269"/>
      <c r="Z80" s="1269"/>
      <c r="AA80" s="1269"/>
      <c r="AB80" s="1270"/>
      <c r="AC80" s="1269"/>
      <c r="AD80" s="1269"/>
      <c r="AE80" s="1269"/>
      <c r="AF80" s="1269"/>
      <c r="AG80" s="1269"/>
      <c r="AH80" s="1271"/>
    </row>
    <row r="81" spans="1:67" s="1198" customFormat="1" ht="22.5" customHeight="1">
      <c r="A81" s="2140" t="s">
        <v>187</v>
      </c>
      <c r="B81" s="2140"/>
      <c r="C81" s="2140"/>
      <c r="D81" s="1272">
        <v>0</v>
      </c>
      <c r="G81" s="1947"/>
      <c r="H81" s="1947"/>
      <c r="I81" s="1947"/>
      <c r="J81" s="1947"/>
      <c r="K81" s="1947"/>
      <c r="L81" s="1948"/>
      <c r="O81" s="2140" t="s">
        <v>188</v>
      </c>
      <c r="P81" s="2140"/>
      <c r="Q81" s="2140"/>
      <c r="R81" s="2140"/>
      <c r="S81" s="2140"/>
      <c r="T81" s="1272">
        <v>10</v>
      </c>
      <c r="AA81" s="1273"/>
      <c r="AB81" s="1274"/>
      <c r="AD81" s="1275"/>
      <c r="AE81" s="1275"/>
      <c r="AF81" s="1275"/>
      <c r="AG81" s="1275"/>
      <c r="AH81" s="1691"/>
      <c r="AJ81" s="1276"/>
      <c r="AK81" s="1276"/>
      <c r="AL81" s="1276"/>
      <c r="AM81" s="1276"/>
      <c r="AN81" s="1276"/>
      <c r="AO81" s="1276"/>
      <c r="AP81" s="1276"/>
      <c r="AQ81" s="1276"/>
      <c r="AR81" s="1276"/>
      <c r="AS81" s="1276"/>
      <c r="AT81" s="1276"/>
      <c r="AU81" s="1276"/>
      <c r="AV81" s="1276"/>
      <c r="AW81" s="1276"/>
      <c r="AX81" s="1276"/>
      <c r="AY81" s="1276"/>
      <c r="AZ81" s="1276"/>
      <c r="BA81" s="1276"/>
      <c r="BB81" s="1276"/>
      <c r="BC81" s="1276"/>
      <c r="BD81" s="1276"/>
      <c r="BE81" s="1276"/>
      <c r="BF81" s="1276"/>
      <c r="BG81" s="1276"/>
      <c r="BH81" s="1276"/>
      <c r="BI81" s="1276"/>
      <c r="BJ81" s="1276"/>
      <c r="BK81" s="1276"/>
      <c r="BL81" s="1276"/>
      <c r="BM81" s="1276"/>
      <c r="BN81" s="1276"/>
      <c r="BO81" s="1276"/>
    </row>
    <row r="82" spans="1:67" ht="15" customHeight="1">
      <c r="A82" s="1277"/>
      <c r="B82" s="1278"/>
      <c r="C82" s="1273"/>
      <c r="D82" s="1273"/>
      <c r="E82" s="1273"/>
      <c r="F82" s="1273"/>
      <c r="G82" s="1273"/>
      <c r="H82" s="1273"/>
      <c r="I82" s="1273"/>
      <c r="J82" s="1273"/>
      <c r="K82" s="1273"/>
      <c r="L82" s="1273"/>
      <c r="M82" s="1273"/>
      <c r="N82" s="1273"/>
      <c r="O82" s="1273"/>
      <c r="P82" s="1273"/>
      <c r="Q82" s="1273"/>
      <c r="R82" s="1273"/>
      <c r="S82" s="1273"/>
      <c r="T82" s="1273"/>
      <c r="U82" s="1273"/>
      <c r="V82" s="1273"/>
      <c r="W82" s="1273"/>
      <c r="X82" s="1273"/>
      <c r="Y82" s="1273"/>
      <c r="Z82" s="1273"/>
      <c r="AA82" s="1273"/>
      <c r="AB82" s="1273"/>
      <c r="AC82" s="1273"/>
      <c r="AD82" s="1273"/>
      <c r="AE82" s="1273"/>
      <c r="AF82" s="1273"/>
      <c r="AG82" s="1273"/>
    </row>
    <row r="83" spans="1:67" ht="15" customHeight="1">
      <c r="A83" s="1277"/>
      <c r="B83" s="1278"/>
    </row>
    <row r="84" spans="1:67" ht="15" customHeight="1">
      <c r="A84" s="1277"/>
      <c r="B84" s="1278"/>
    </row>
    <row r="85" spans="1:67" ht="15" customHeight="1">
      <c r="A85" s="1277"/>
      <c r="B85" s="1278"/>
      <c r="C85" s="1290"/>
      <c r="D85" s="1290"/>
      <c r="E85" s="1290"/>
      <c r="F85" s="1290"/>
      <c r="G85" s="1290"/>
      <c r="H85" s="1290"/>
      <c r="I85" s="1290"/>
      <c r="J85" s="1290"/>
      <c r="K85" s="1290"/>
      <c r="L85" s="1290"/>
      <c r="M85" s="1290"/>
      <c r="N85" s="1290"/>
      <c r="O85" s="1290"/>
      <c r="P85" s="1290"/>
      <c r="Q85" s="1290"/>
      <c r="R85" s="1290"/>
      <c r="S85" s="1290"/>
      <c r="T85" s="1290"/>
      <c r="U85" s="1290"/>
      <c r="V85" s="1290"/>
      <c r="W85" s="1290"/>
      <c r="X85" s="1290"/>
      <c r="Y85" s="1290"/>
      <c r="Z85" s="1290"/>
      <c r="AA85" s="1290"/>
      <c r="AB85" s="1290"/>
      <c r="AC85" s="1290"/>
      <c r="AD85" s="1290"/>
      <c r="AE85" s="1290"/>
      <c r="AF85" s="1290"/>
      <c r="AG85" s="1290"/>
    </row>
    <row r="86" spans="1:67" ht="15" customHeight="1">
      <c r="A86" s="1277"/>
      <c r="B86" s="1278"/>
    </row>
    <row r="87" spans="1:67" ht="15" customHeight="1">
      <c r="A87" s="1277"/>
      <c r="B87" s="1278"/>
    </row>
    <row r="88" spans="1:67" ht="15" customHeight="1">
      <c r="A88" s="1277"/>
      <c r="B88" s="1278"/>
    </row>
    <row r="89" spans="1:67" ht="15" customHeight="1">
      <c r="A89" s="1277"/>
      <c r="B89" s="1278"/>
    </row>
    <row r="90" spans="1:67" ht="15" customHeight="1">
      <c r="A90" s="1277"/>
      <c r="B90" s="1278"/>
    </row>
    <row r="91" spans="1:67" ht="15" customHeight="1">
      <c r="A91" s="1277"/>
      <c r="B91" s="1278"/>
    </row>
    <row r="92" spans="1:67" ht="15" customHeight="1">
      <c r="A92" s="1277"/>
      <c r="B92" s="1278"/>
    </row>
    <row r="93" spans="1:67" ht="15" customHeight="1">
      <c r="A93" s="1277"/>
      <c r="B93" s="1278"/>
    </row>
    <row r="94" spans="1:67" ht="15" customHeight="1">
      <c r="A94" s="1277"/>
      <c r="B94" s="1278"/>
    </row>
    <row r="95" spans="1:67" ht="15" customHeight="1">
      <c r="A95" s="1277"/>
      <c r="B95" s="1278"/>
    </row>
    <row r="96" spans="1:67" ht="15" customHeight="1">
      <c r="A96" s="1277"/>
      <c r="B96" s="1278"/>
    </row>
    <row r="97" spans="1:32" ht="15" customHeight="1">
      <c r="A97" s="1277"/>
      <c r="B97" s="1278"/>
    </row>
    <row r="98" spans="1:32" ht="15" customHeight="1">
      <c r="A98" s="1277"/>
      <c r="B98" s="1278"/>
    </row>
    <row r="99" spans="1:32" ht="15" customHeight="1">
      <c r="A99" s="1277"/>
      <c r="B99" s="1278"/>
    </row>
    <row r="100" spans="1:32" ht="15" customHeight="1">
      <c r="A100" s="1277"/>
      <c r="B100" s="1278"/>
    </row>
    <row r="101" spans="1:32" ht="15" customHeight="1">
      <c r="A101" s="1277"/>
      <c r="B101" s="1278"/>
    </row>
    <row r="102" spans="1:32" ht="15" customHeight="1">
      <c r="A102" s="1277"/>
      <c r="B102" s="1278"/>
    </row>
    <row r="103" spans="1:32" ht="15" customHeight="1">
      <c r="A103" s="1277"/>
      <c r="B103" s="1278"/>
    </row>
    <row r="104" spans="1:32" ht="15" customHeight="1">
      <c r="A104" s="1277"/>
      <c r="B104" s="1278"/>
    </row>
    <row r="105" spans="1:32" ht="15" customHeight="1">
      <c r="A105" s="1277"/>
      <c r="B105" s="1278"/>
    </row>
    <row r="106" spans="1:32" ht="15" customHeight="1">
      <c r="A106" s="1277"/>
      <c r="B106" s="1278"/>
    </row>
    <row r="107" spans="1:32" ht="15" customHeight="1">
      <c r="A107" s="1277"/>
      <c r="B107" s="1278"/>
    </row>
    <row r="108" spans="1:32" ht="15" customHeight="1">
      <c r="A108" s="1277"/>
      <c r="B108" s="1606">
        <v>1</v>
      </c>
      <c r="C108" s="1607">
        <v>2</v>
      </c>
      <c r="D108" s="1606">
        <v>3</v>
      </c>
      <c r="E108" s="1607">
        <v>4</v>
      </c>
      <c r="F108" s="1606">
        <v>5</v>
      </c>
      <c r="G108" s="1607">
        <v>6</v>
      </c>
      <c r="H108" s="1606">
        <v>7</v>
      </c>
      <c r="I108" s="1607">
        <v>8</v>
      </c>
      <c r="J108" s="1606">
        <v>9</v>
      </c>
      <c r="K108" s="1607">
        <v>10</v>
      </c>
      <c r="L108" s="1606">
        <v>11</v>
      </c>
      <c r="M108" s="1607">
        <v>12</v>
      </c>
      <c r="N108" s="1606">
        <v>13</v>
      </c>
      <c r="O108" s="1607">
        <v>14</v>
      </c>
      <c r="P108" s="1606">
        <v>15</v>
      </c>
      <c r="Q108" s="1607">
        <v>16</v>
      </c>
      <c r="R108" s="1606">
        <v>17</v>
      </c>
      <c r="S108" s="1607">
        <v>18</v>
      </c>
      <c r="T108" s="1606">
        <v>19</v>
      </c>
      <c r="U108" s="1607">
        <v>20</v>
      </c>
      <c r="V108" s="1606">
        <v>21</v>
      </c>
      <c r="W108" s="1607">
        <v>22</v>
      </c>
      <c r="X108" s="1606">
        <v>23</v>
      </c>
      <c r="Y108" s="1607">
        <v>24</v>
      </c>
      <c r="Z108" s="1606">
        <v>25</v>
      </c>
      <c r="AA108" s="1607">
        <v>26</v>
      </c>
      <c r="AB108" s="1606">
        <v>27</v>
      </c>
      <c r="AC108" s="1607">
        <v>28</v>
      </c>
      <c r="AD108" s="1606">
        <v>29</v>
      </c>
      <c r="AE108" s="1607">
        <v>30</v>
      </c>
      <c r="AF108" s="1606">
        <v>31</v>
      </c>
    </row>
    <row r="109" spans="1:32" ht="15" customHeight="1">
      <c r="A109" s="1277"/>
      <c r="B109" s="1278"/>
    </row>
    <row r="110" spans="1:32" ht="15" customHeight="1">
      <c r="A110" s="1277"/>
      <c r="B110" s="1278"/>
    </row>
    <row r="111" spans="1:32" ht="13.5" customHeight="1">
      <c r="A111" s="1277"/>
      <c r="B111" s="1278"/>
    </row>
    <row r="112" spans="1:32" ht="15" customHeight="1">
      <c r="A112" s="1277"/>
      <c r="B112" s="1278"/>
    </row>
    <row r="113" spans="1:2" ht="15" customHeight="1">
      <c r="A113" s="1788" t="s">
        <v>268</v>
      </c>
      <c r="B113" s="1278"/>
    </row>
    <row r="114" spans="1:2" ht="15" customHeight="1">
      <c r="A114" s="1788" t="s">
        <v>269</v>
      </c>
      <c r="B114" s="1278"/>
    </row>
    <row r="115" spans="1:2" ht="15" customHeight="1">
      <c r="A115" s="1277"/>
      <c r="B115" s="1278"/>
    </row>
    <row r="116" spans="1:2" ht="15" customHeight="1">
      <c r="A116" s="1277"/>
      <c r="B116" s="1278"/>
    </row>
    <row r="117" spans="1:2" ht="15" customHeight="1">
      <c r="A117" s="1277"/>
      <c r="B117" s="1278"/>
    </row>
    <row r="118" spans="1:2" ht="15" customHeight="1">
      <c r="A118" s="1277"/>
      <c r="B118" s="1278"/>
    </row>
    <row r="119" spans="1:2" ht="15" customHeight="1">
      <c r="A119" s="1277"/>
      <c r="B119" s="1278"/>
    </row>
    <row r="120" spans="1:2" ht="15" customHeight="1">
      <c r="A120" s="1277"/>
      <c r="B120" s="1278"/>
    </row>
    <row r="121" spans="1:2" ht="15" customHeight="1">
      <c r="A121" s="1277"/>
      <c r="B121" s="1278"/>
    </row>
    <row r="122" spans="1:2" ht="15" customHeight="1">
      <c r="A122" s="1277"/>
      <c r="B122" s="1278"/>
    </row>
    <row r="123" spans="1:2" ht="15" customHeight="1">
      <c r="A123" s="1277"/>
      <c r="B123" s="1278"/>
    </row>
    <row r="124" spans="1:2" ht="15" customHeight="1">
      <c r="A124" s="1277"/>
      <c r="B124" s="1278"/>
    </row>
    <row r="125" spans="1:2" ht="15" customHeight="1">
      <c r="A125" s="1277"/>
      <c r="B125" s="1278"/>
    </row>
    <row r="126" spans="1:2" ht="15" customHeight="1">
      <c r="A126" s="1277"/>
      <c r="B126" s="1278"/>
    </row>
    <row r="127" spans="1:2" ht="15" customHeight="1">
      <c r="A127" s="1277"/>
      <c r="B127" s="1278"/>
    </row>
    <row r="128" spans="1:2" ht="15" customHeight="1">
      <c r="A128" s="1277"/>
      <c r="B128" s="1278"/>
    </row>
    <row r="129" spans="1:35" ht="15" customHeight="1">
      <c r="A129" s="1277"/>
      <c r="B129" s="1278"/>
    </row>
    <row r="130" spans="1:35" ht="15" customHeight="1">
      <c r="A130" s="1277"/>
      <c r="B130" s="1278"/>
    </row>
    <row r="131" spans="1:35" ht="15" customHeight="1">
      <c r="A131" s="1277"/>
      <c r="B131" s="1278"/>
    </row>
    <row r="132" spans="1:35" ht="15" customHeight="1">
      <c r="A132" s="1277"/>
      <c r="B132" s="1278"/>
    </row>
    <row r="133" spans="1:35" ht="15" customHeight="1">
      <c r="A133" s="1277"/>
      <c r="B133" s="1278"/>
    </row>
    <row r="135" spans="1:35" ht="30.75" customHeight="1">
      <c r="A135" s="2139" t="s">
        <v>189</v>
      </c>
      <c r="B135" s="2139"/>
      <c r="C135" s="2139"/>
      <c r="D135" s="2139"/>
      <c r="E135" s="2139"/>
      <c r="F135" s="2139"/>
      <c r="G135" s="2139"/>
      <c r="H135" s="2139"/>
      <c r="I135" s="2139"/>
      <c r="J135" s="2139"/>
      <c r="K135" s="2139"/>
      <c r="L135" s="2139"/>
      <c r="M135" s="2139"/>
      <c r="N135" s="2139"/>
      <c r="O135" s="2139"/>
      <c r="P135" s="2139"/>
      <c r="Q135" s="2139"/>
      <c r="R135" s="2139"/>
      <c r="S135" s="2139"/>
      <c r="T135" s="2139"/>
      <c r="U135" s="2139"/>
      <c r="V135" s="2139"/>
      <c r="W135" s="2139"/>
      <c r="X135" s="2139"/>
      <c r="Y135" s="2139"/>
      <c r="Z135" s="2139"/>
      <c r="AA135" s="2139"/>
      <c r="AB135" s="2139"/>
      <c r="AC135" s="2139"/>
      <c r="AD135" s="2139"/>
      <c r="AE135" s="2139"/>
      <c r="AF135" s="2139"/>
      <c r="AG135" s="2139"/>
      <c r="AH135" s="2139"/>
      <c r="AI135" s="1198"/>
    </row>
    <row r="136" spans="1:35">
      <c r="A136" s="1279"/>
      <c r="B136" s="1279"/>
      <c r="C136" s="1280"/>
      <c r="D136" s="1280"/>
      <c r="E136" s="1280"/>
      <c r="F136" s="1280"/>
      <c r="G136" s="1280"/>
      <c r="H136" s="1280"/>
      <c r="I136" s="1280"/>
      <c r="J136" s="1280"/>
      <c r="K136" s="1280"/>
      <c r="L136" s="1280"/>
      <c r="M136" s="1280"/>
      <c r="N136" s="1280"/>
      <c r="O136" s="1280"/>
      <c r="P136" s="1280"/>
      <c r="Q136" s="1280"/>
      <c r="R136" s="1280"/>
      <c r="S136" s="1280"/>
      <c r="T136" s="1280"/>
      <c r="U136" s="1280"/>
      <c r="V136" s="1280"/>
      <c r="W136" s="1280"/>
      <c r="X136" s="1280"/>
      <c r="Y136" s="1280"/>
      <c r="Z136" s="1280"/>
      <c r="AA136" s="1280"/>
      <c r="AB136" s="1280"/>
      <c r="AC136" s="1280"/>
      <c r="AD136" s="1280"/>
      <c r="AE136" s="1280"/>
      <c r="AF136" s="1280"/>
      <c r="AG136" s="1280"/>
      <c r="AH136" s="1281"/>
      <c r="AI136" s="1198"/>
    </row>
    <row r="137" spans="1:35" ht="15.75" hidden="1">
      <c r="A137" s="2138" t="s">
        <v>164</v>
      </c>
      <c r="B137" s="2138"/>
      <c r="C137" s="1205">
        <f>C3</f>
        <v>1</v>
      </c>
      <c r="D137" s="1205">
        <f t="shared" ref="D137:AD137" si="25">D3</f>
        <v>2</v>
      </c>
      <c r="E137" s="1205">
        <f t="shared" si="25"/>
        <v>3</v>
      </c>
      <c r="F137" s="1205">
        <f t="shared" si="25"/>
        <v>4</v>
      </c>
      <c r="G137" s="1205">
        <f t="shared" si="25"/>
        <v>5</v>
      </c>
      <c r="H137" s="1205">
        <f t="shared" si="25"/>
        <v>6</v>
      </c>
      <c r="I137" s="1205">
        <f t="shared" si="25"/>
        <v>7</v>
      </c>
      <c r="J137" s="1205">
        <f t="shared" si="25"/>
        <v>8</v>
      </c>
      <c r="K137" s="1205">
        <f t="shared" si="25"/>
        <v>9</v>
      </c>
      <c r="L137" s="1205">
        <f t="shared" si="25"/>
        <v>10</v>
      </c>
      <c r="M137" s="1205">
        <f t="shared" si="25"/>
        <v>11</v>
      </c>
      <c r="N137" s="1205">
        <f t="shared" si="25"/>
        <v>12</v>
      </c>
      <c r="O137" s="1205">
        <f t="shared" si="25"/>
        <v>13</v>
      </c>
      <c r="P137" s="1205">
        <f t="shared" si="25"/>
        <v>14</v>
      </c>
      <c r="Q137" s="1205">
        <f t="shared" si="25"/>
        <v>15</v>
      </c>
      <c r="R137" s="1205">
        <f t="shared" si="25"/>
        <v>16</v>
      </c>
      <c r="S137" s="1205">
        <f t="shared" si="25"/>
        <v>17</v>
      </c>
      <c r="T137" s="1205">
        <f t="shared" si="25"/>
        <v>18</v>
      </c>
      <c r="U137" s="1205">
        <f t="shared" si="25"/>
        <v>19</v>
      </c>
      <c r="V137" s="1205">
        <f t="shared" si="25"/>
        <v>20</v>
      </c>
      <c r="W137" s="1205">
        <f t="shared" si="25"/>
        <v>21</v>
      </c>
      <c r="X137" s="1205">
        <f t="shared" si="25"/>
        <v>22</v>
      </c>
      <c r="Y137" s="1205">
        <f t="shared" si="25"/>
        <v>23</v>
      </c>
      <c r="Z137" s="1205">
        <f t="shared" si="25"/>
        <v>24</v>
      </c>
      <c r="AA137" s="1205">
        <f t="shared" si="25"/>
        <v>25</v>
      </c>
      <c r="AB137" s="1205">
        <f t="shared" si="25"/>
        <v>26</v>
      </c>
      <c r="AC137" s="1205">
        <f t="shared" si="25"/>
        <v>27</v>
      </c>
      <c r="AD137" s="1205">
        <f t="shared" si="25"/>
        <v>28</v>
      </c>
      <c r="AE137" s="1205">
        <f>AE3</f>
        <v>0</v>
      </c>
      <c r="AF137" s="1205">
        <f>AF3</f>
        <v>0</v>
      </c>
      <c r="AG137" s="1205"/>
      <c r="AH137" s="1282"/>
      <c r="AI137" s="1198"/>
    </row>
    <row r="138" spans="1:35" hidden="1">
      <c r="A138" s="1283" t="s">
        <v>190</v>
      </c>
      <c r="B138" s="1256" t="s">
        <v>142</v>
      </c>
      <c r="C138" s="1231">
        <f>C143+C147</f>
        <v>-0.9642857142857153</v>
      </c>
      <c r="D138" s="1231">
        <f t="shared" ref="D138:AD139" si="26">D143+D147</f>
        <v>-1.9285714285714306</v>
      </c>
      <c r="E138" s="1231">
        <f t="shared" si="26"/>
        <v>41.107142857142854</v>
      </c>
      <c r="F138" s="1231">
        <f t="shared" si="26"/>
        <v>40.142857142857139</v>
      </c>
      <c r="G138" s="1231">
        <f t="shared" si="26"/>
        <v>39.178571428571423</v>
      </c>
      <c r="H138" s="1231">
        <f t="shared" si="26"/>
        <v>80.214285714285708</v>
      </c>
      <c r="I138" s="1231">
        <f t="shared" si="26"/>
        <v>79.25</v>
      </c>
      <c r="J138" s="1231">
        <f t="shared" si="26"/>
        <v>70.285714285714278</v>
      </c>
      <c r="K138" s="1231">
        <f t="shared" si="26"/>
        <v>185.32142857142856</v>
      </c>
      <c r="L138" s="1231">
        <f t="shared" si="26"/>
        <v>184.35714285714283</v>
      </c>
      <c r="M138" s="1231">
        <f t="shared" si="26"/>
        <v>183.39285714285714</v>
      </c>
      <c r="N138" s="1231">
        <f t="shared" si="26"/>
        <v>212.42857142857142</v>
      </c>
      <c r="O138" s="1231">
        <f t="shared" si="26"/>
        <v>211.46428571428569</v>
      </c>
      <c r="P138" s="1231">
        <f t="shared" si="26"/>
        <v>210.5</v>
      </c>
      <c r="Q138" s="1231">
        <f t="shared" si="26"/>
        <v>209.53571428571428</v>
      </c>
      <c r="R138" s="1231">
        <f t="shared" si="26"/>
        <v>208.57142857142856</v>
      </c>
      <c r="S138" s="1231">
        <f t="shared" si="26"/>
        <v>207.60714285714283</v>
      </c>
      <c r="T138" s="1231">
        <f t="shared" si="26"/>
        <v>206.64285714285711</v>
      </c>
      <c r="U138" s="1231">
        <f t="shared" si="26"/>
        <v>205.67857142857142</v>
      </c>
      <c r="V138" s="1231">
        <f t="shared" si="26"/>
        <v>199.71428571428569</v>
      </c>
      <c r="W138" s="1231">
        <f t="shared" si="26"/>
        <v>198.74999999999997</v>
      </c>
      <c r="X138" s="1231">
        <f t="shared" si="26"/>
        <v>197.78571428571428</v>
      </c>
      <c r="Y138" s="1231">
        <f t="shared" si="26"/>
        <v>196.82142857142856</v>
      </c>
      <c r="Z138" s="1231">
        <f t="shared" si="26"/>
        <v>195.85714285714283</v>
      </c>
      <c r="AA138" s="1231">
        <f t="shared" si="26"/>
        <v>194.89285714285711</v>
      </c>
      <c r="AB138" s="1231">
        <f t="shared" si="26"/>
        <v>193.92857142857139</v>
      </c>
      <c r="AC138" s="1231">
        <f t="shared" si="26"/>
        <v>192.96428571428569</v>
      </c>
      <c r="AD138" s="1231">
        <f t="shared" si="26"/>
        <v>281</v>
      </c>
      <c r="AE138" s="1231">
        <f>AE143+AE147</f>
        <v>281</v>
      </c>
      <c r="AF138" s="1231">
        <f>AF143+AF147</f>
        <v>281</v>
      </c>
      <c r="AG138" s="1231"/>
      <c r="AH138" s="1231"/>
      <c r="AI138" s="1198"/>
    </row>
    <row r="139" spans="1:35" hidden="1">
      <c r="A139" s="1283" t="s">
        <v>190</v>
      </c>
      <c r="B139" s="1256" t="s">
        <v>2</v>
      </c>
      <c r="C139" s="1231">
        <f>C144+C148</f>
        <v>0</v>
      </c>
      <c r="D139" s="1231">
        <f t="shared" si="26"/>
        <v>0</v>
      </c>
      <c r="E139" s="1231">
        <f t="shared" si="26"/>
        <v>1</v>
      </c>
      <c r="F139" s="1231">
        <f t="shared" si="26"/>
        <v>1</v>
      </c>
      <c r="G139" s="1231">
        <f t="shared" si="26"/>
        <v>1</v>
      </c>
      <c r="H139" s="1231">
        <f t="shared" si="26"/>
        <v>2</v>
      </c>
      <c r="I139" s="1231">
        <f t="shared" si="26"/>
        <v>2</v>
      </c>
      <c r="J139" s="1231">
        <f t="shared" si="26"/>
        <v>1</v>
      </c>
      <c r="K139" s="1231">
        <f t="shared" si="26"/>
        <v>2</v>
      </c>
      <c r="L139" s="1231">
        <f t="shared" si="26"/>
        <v>2</v>
      </c>
      <c r="M139" s="1231">
        <f t="shared" si="26"/>
        <v>2</v>
      </c>
      <c r="N139" s="1231">
        <f t="shared" si="26"/>
        <v>3</v>
      </c>
      <c r="O139" s="1231">
        <f t="shared" si="26"/>
        <v>3</v>
      </c>
      <c r="P139" s="1231">
        <f t="shared" si="26"/>
        <v>3</v>
      </c>
      <c r="Q139" s="1231">
        <f t="shared" si="26"/>
        <v>3</v>
      </c>
      <c r="R139" s="1231">
        <f t="shared" si="26"/>
        <v>3</v>
      </c>
      <c r="S139" s="1231">
        <f t="shared" si="26"/>
        <v>3</v>
      </c>
      <c r="T139" s="1231">
        <f t="shared" si="26"/>
        <v>3</v>
      </c>
      <c r="U139" s="1231">
        <f t="shared" si="26"/>
        <v>3</v>
      </c>
      <c r="V139" s="1231">
        <f t="shared" si="26"/>
        <v>3</v>
      </c>
      <c r="W139" s="1231">
        <f t="shared" si="26"/>
        <v>3</v>
      </c>
      <c r="X139" s="1231">
        <f t="shared" si="26"/>
        <v>3</v>
      </c>
      <c r="Y139" s="1231">
        <f t="shared" si="26"/>
        <v>3</v>
      </c>
      <c r="Z139" s="1231">
        <f t="shared" si="26"/>
        <v>3</v>
      </c>
      <c r="AA139" s="1231">
        <f t="shared" si="26"/>
        <v>3</v>
      </c>
      <c r="AB139" s="1231">
        <f t="shared" si="26"/>
        <v>3</v>
      </c>
      <c r="AC139" s="1231">
        <f t="shared" si="26"/>
        <v>3</v>
      </c>
      <c r="AD139" s="1231">
        <f t="shared" si="26"/>
        <v>4</v>
      </c>
      <c r="AE139" s="1231">
        <f>AE144+AE148</f>
        <v>4</v>
      </c>
      <c r="AF139" s="1231">
        <f>AF144+AF148</f>
        <v>4</v>
      </c>
      <c r="AG139" s="1231"/>
      <c r="AH139" s="1231"/>
      <c r="AI139" s="1198"/>
    </row>
    <row r="140" spans="1:35" hidden="1">
      <c r="A140" s="1283" t="s">
        <v>191</v>
      </c>
      <c r="B140" s="1256" t="s">
        <v>142</v>
      </c>
      <c r="C140" s="1231"/>
      <c r="D140" s="1231"/>
      <c r="E140" s="1231"/>
      <c r="F140" s="1231"/>
      <c r="G140" s="1231"/>
      <c r="H140" s="1231"/>
      <c r="I140" s="1231"/>
      <c r="J140" s="1231"/>
      <c r="K140" s="1231"/>
      <c r="L140" s="1231"/>
      <c r="M140" s="1231"/>
      <c r="N140" s="1231"/>
      <c r="O140" s="1231"/>
      <c r="P140" s="1231"/>
      <c r="Q140" s="1231"/>
      <c r="R140" s="1231"/>
      <c r="S140" s="1231"/>
      <c r="T140" s="1231"/>
      <c r="U140" s="1231"/>
      <c r="V140" s="1231"/>
      <c r="W140" s="1231"/>
      <c r="X140" s="1231"/>
      <c r="Y140" s="1231"/>
      <c r="Z140" s="1231"/>
      <c r="AA140" s="1231"/>
      <c r="AB140" s="1231"/>
      <c r="AC140" s="1231"/>
      <c r="AD140" s="1231"/>
      <c r="AE140" s="1231"/>
      <c r="AF140" s="1231"/>
      <c r="AG140" s="1231"/>
      <c r="AH140" s="1231"/>
      <c r="AI140" s="1198"/>
    </row>
    <row r="141" spans="1:35" hidden="1">
      <c r="A141" s="1283" t="s">
        <v>191</v>
      </c>
      <c r="B141" s="1256" t="s">
        <v>2</v>
      </c>
      <c r="C141" s="1231"/>
      <c r="D141" s="1231"/>
      <c r="E141" s="1231"/>
      <c r="F141" s="1231"/>
      <c r="G141" s="1231"/>
      <c r="H141" s="1231"/>
      <c r="I141" s="1231"/>
      <c r="J141" s="1231"/>
      <c r="K141" s="1231"/>
      <c r="L141" s="1231"/>
      <c r="M141" s="1231"/>
      <c r="N141" s="1231"/>
      <c r="O141" s="1231"/>
      <c r="P141" s="1231"/>
      <c r="Q141" s="1231"/>
      <c r="R141" s="1231"/>
      <c r="S141" s="1231"/>
      <c r="T141" s="1231"/>
      <c r="U141" s="1231"/>
      <c r="V141" s="1231"/>
      <c r="W141" s="1231"/>
      <c r="X141" s="1231"/>
      <c r="Y141" s="1231"/>
      <c r="Z141" s="1231"/>
      <c r="AA141" s="1231"/>
      <c r="AB141" s="1231"/>
      <c r="AC141" s="1231"/>
      <c r="AD141" s="1231"/>
      <c r="AE141" s="1231"/>
      <c r="AF141" s="1231"/>
      <c r="AG141" s="1231"/>
      <c r="AH141" s="1231"/>
      <c r="AI141" s="1198"/>
    </row>
    <row r="142" spans="1:35" hidden="1">
      <c r="A142" s="1281"/>
      <c r="B142" s="1281"/>
      <c r="AI142" s="1198"/>
    </row>
    <row r="143" spans="1:35" hidden="1">
      <c r="A143" s="1283" t="s">
        <v>192</v>
      </c>
      <c r="B143" s="1256" t="s">
        <v>142</v>
      </c>
      <c r="C143" s="1284">
        <f>C35-C53</f>
        <v>-0.9642857142857153</v>
      </c>
      <c r="D143" s="1284">
        <f>C143+D35-D53</f>
        <v>-1.9285714285714306</v>
      </c>
      <c r="E143" s="1284">
        <f>D143+E35-E53</f>
        <v>-2.8928571428571459</v>
      </c>
      <c r="F143" s="1284">
        <f t="shared" ref="F143:AF143" si="27">E143+F35-F53</f>
        <v>-3.8571428571428612</v>
      </c>
      <c r="G143" s="1284">
        <f>F143+G35-G53</f>
        <v>-4.8214285714285765</v>
      </c>
      <c r="H143" s="1284">
        <f t="shared" si="27"/>
        <v>-5.7857142857142918</v>
      </c>
      <c r="I143" s="1284">
        <f t="shared" si="27"/>
        <v>-6.7500000000000071</v>
      </c>
      <c r="J143" s="1284">
        <f t="shared" si="27"/>
        <v>-7.7142857142857224</v>
      </c>
      <c r="K143" s="1284">
        <f t="shared" si="27"/>
        <v>-8.6785714285714377</v>
      </c>
      <c r="L143" s="1284">
        <f t="shared" si="27"/>
        <v>-9.642857142857153</v>
      </c>
      <c r="M143" s="1284">
        <f t="shared" si="27"/>
        <v>-10.607142857142868</v>
      </c>
      <c r="N143" s="1284">
        <f t="shared" si="27"/>
        <v>-11.571428571428584</v>
      </c>
      <c r="O143" s="1284">
        <f t="shared" si="27"/>
        <v>-12.535714285714299</v>
      </c>
      <c r="P143" s="1284">
        <f t="shared" si="27"/>
        <v>-13.500000000000014</v>
      </c>
      <c r="Q143" s="1284">
        <f t="shared" si="27"/>
        <v>-14.46428571428573</v>
      </c>
      <c r="R143" s="1284">
        <f t="shared" si="27"/>
        <v>-15.428571428571445</v>
      </c>
      <c r="S143" s="1284">
        <f t="shared" si="27"/>
        <v>-16.39285714285716</v>
      </c>
      <c r="T143" s="1284">
        <f t="shared" si="27"/>
        <v>-17.357142857142875</v>
      </c>
      <c r="U143" s="1284">
        <f t="shared" si="27"/>
        <v>-18.321428571428591</v>
      </c>
      <c r="V143" s="1284">
        <f t="shared" si="27"/>
        <v>-19.285714285714306</v>
      </c>
      <c r="W143" s="1284">
        <f t="shared" si="27"/>
        <v>-20.250000000000021</v>
      </c>
      <c r="X143" s="1284">
        <f t="shared" si="27"/>
        <v>-21.214285714285737</v>
      </c>
      <c r="Y143" s="1284">
        <f t="shared" si="27"/>
        <v>-22.178571428571452</v>
      </c>
      <c r="Z143" s="1284">
        <f t="shared" si="27"/>
        <v>-23.142857142857167</v>
      </c>
      <c r="AA143" s="1284">
        <f t="shared" si="27"/>
        <v>-24.107142857142883</v>
      </c>
      <c r="AB143" s="1284">
        <f t="shared" si="27"/>
        <v>-25.071428571428598</v>
      </c>
      <c r="AC143" s="1284">
        <f t="shared" si="27"/>
        <v>-26.035714285714313</v>
      </c>
      <c r="AD143" s="1284">
        <f t="shared" si="27"/>
        <v>-27.000000000000028</v>
      </c>
      <c r="AE143" s="1284">
        <f t="shared" si="27"/>
        <v>-27.000000000000028</v>
      </c>
      <c r="AF143" s="1284">
        <f t="shared" si="27"/>
        <v>-27.000000000000028</v>
      </c>
      <c r="AG143" s="1284"/>
      <c r="AH143" s="1282"/>
      <c r="AI143" s="1198"/>
    </row>
    <row r="144" spans="1:35" hidden="1">
      <c r="A144" s="1283" t="s">
        <v>193</v>
      </c>
      <c r="B144" s="1256" t="s">
        <v>142</v>
      </c>
      <c r="C144" s="1284">
        <f>C34-C52</f>
        <v>0</v>
      </c>
      <c r="D144" s="1284">
        <f t="shared" ref="D144:AD144" si="28">C144+D34-D52</f>
        <v>0</v>
      </c>
      <c r="E144" s="1284">
        <f t="shared" si="28"/>
        <v>0</v>
      </c>
      <c r="F144" s="1284">
        <f t="shared" si="28"/>
        <v>0</v>
      </c>
      <c r="G144" s="1284">
        <f t="shared" si="28"/>
        <v>0</v>
      </c>
      <c r="H144" s="1284">
        <f t="shared" si="28"/>
        <v>0</v>
      </c>
      <c r="I144" s="1284">
        <f t="shared" si="28"/>
        <v>0</v>
      </c>
      <c r="J144" s="1284">
        <f t="shared" si="28"/>
        <v>0</v>
      </c>
      <c r="K144" s="1284">
        <f t="shared" si="28"/>
        <v>0</v>
      </c>
      <c r="L144" s="1284">
        <f t="shared" si="28"/>
        <v>0</v>
      </c>
      <c r="M144" s="1284">
        <f t="shared" si="28"/>
        <v>0</v>
      </c>
      <c r="N144" s="1284">
        <f t="shared" si="28"/>
        <v>0</v>
      </c>
      <c r="O144" s="1284">
        <f t="shared" si="28"/>
        <v>0</v>
      </c>
      <c r="P144" s="1284">
        <f t="shared" si="28"/>
        <v>0</v>
      </c>
      <c r="Q144" s="1284">
        <f t="shared" si="28"/>
        <v>0</v>
      </c>
      <c r="R144" s="1284">
        <f t="shared" si="28"/>
        <v>0</v>
      </c>
      <c r="S144" s="1284">
        <f t="shared" si="28"/>
        <v>0</v>
      </c>
      <c r="T144" s="1284">
        <f t="shared" si="28"/>
        <v>0</v>
      </c>
      <c r="U144" s="1284">
        <f t="shared" si="28"/>
        <v>0</v>
      </c>
      <c r="V144" s="1284">
        <f t="shared" si="28"/>
        <v>0</v>
      </c>
      <c r="W144" s="1284">
        <f t="shared" si="28"/>
        <v>0</v>
      </c>
      <c r="X144" s="1284">
        <f t="shared" si="28"/>
        <v>0</v>
      </c>
      <c r="Y144" s="1284">
        <f t="shared" si="28"/>
        <v>0</v>
      </c>
      <c r="Z144" s="1284">
        <f t="shared" si="28"/>
        <v>0</v>
      </c>
      <c r="AA144" s="1284">
        <f t="shared" si="28"/>
        <v>0</v>
      </c>
      <c r="AB144" s="1284">
        <f t="shared" si="28"/>
        <v>0</v>
      </c>
      <c r="AC144" s="1284">
        <f t="shared" si="28"/>
        <v>0</v>
      </c>
      <c r="AD144" s="1284">
        <f t="shared" si="28"/>
        <v>0</v>
      </c>
      <c r="AE144" s="1284"/>
      <c r="AF144" s="1284"/>
      <c r="AG144" s="1284"/>
      <c r="AH144" s="1282"/>
      <c r="AI144" s="1198"/>
    </row>
    <row r="145" spans="1:35" hidden="1">
      <c r="A145" s="1283" t="s">
        <v>194</v>
      </c>
      <c r="B145" s="1256" t="s">
        <v>142</v>
      </c>
      <c r="C145" s="1285"/>
      <c r="D145" s="1285"/>
      <c r="E145" s="1285"/>
      <c r="F145" s="1285"/>
      <c r="G145" s="1285"/>
      <c r="H145" s="1285"/>
      <c r="I145" s="1285"/>
      <c r="J145" s="1285"/>
      <c r="K145" s="1285"/>
      <c r="L145" s="1285"/>
      <c r="M145" s="1286"/>
      <c r="N145" s="1286"/>
      <c r="O145" s="1286"/>
      <c r="P145" s="1286"/>
      <c r="Q145" s="1286"/>
      <c r="R145" s="1286"/>
      <c r="S145" s="1286"/>
      <c r="T145" s="1286"/>
      <c r="U145" s="1286"/>
      <c r="V145" s="1286"/>
      <c r="W145" s="1286"/>
      <c r="X145" s="1286"/>
      <c r="Y145" s="1286"/>
      <c r="Z145" s="1286"/>
      <c r="AA145" s="1286"/>
      <c r="AB145" s="1286"/>
      <c r="AC145" s="1286"/>
      <c r="AD145" s="1286"/>
      <c r="AE145" s="1286"/>
      <c r="AF145" s="1286"/>
      <c r="AG145" s="1286"/>
      <c r="AH145" s="1282"/>
      <c r="AI145" s="1198"/>
    </row>
    <row r="146" spans="1:35" hidden="1">
      <c r="A146" s="1287"/>
      <c r="B146" s="1281"/>
      <c r="AI146" s="1198"/>
    </row>
    <row r="147" spans="1:35" hidden="1">
      <c r="A147" s="1283" t="s">
        <v>195</v>
      </c>
      <c r="B147" s="1256" t="s">
        <v>142</v>
      </c>
      <c r="C147" s="1284">
        <f>C39-C59</f>
        <v>0</v>
      </c>
      <c r="D147" s="1284">
        <f>C147+D39-D59</f>
        <v>0</v>
      </c>
      <c r="E147" s="1284">
        <f t="shared" ref="E147:AF147" si="29">D147+E39-E59</f>
        <v>44</v>
      </c>
      <c r="F147" s="1284">
        <f>E147+F39-F59</f>
        <v>44</v>
      </c>
      <c r="G147" s="1284">
        <f t="shared" si="29"/>
        <v>44</v>
      </c>
      <c r="H147" s="1284">
        <f t="shared" si="29"/>
        <v>86</v>
      </c>
      <c r="I147" s="1284">
        <f t="shared" si="29"/>
        <v>86</v>
      </c>
      <c r="J147" s="1284">
        <f>I147+J39-J59</f>
        <v>78</v>
      </c>
      <c r="K147" s="1284">
        <f t="shared" si="29"/>
        <v>194</v>
      </c>
      <c r="L147" s="1284">
        <f>K147+L39-L59</f>
        <v>194</v>
      </c>
      <c r="M147" s="1284">
        <f t="shared" si="29"/>
        <v>194</v>
      </c>
      <c r="N147" s="1284">
        <f t="shared" si="29"/>
        <v>224</v>
      </c>
      <c r="O147" s="1284">
        <f t="shared" si="29"/>
        <v>224</v>
      </c>
      <c r="P147" s="1284">
        <f>O147+P39-P59</f>
        <v>224</v>
      </c>
      <c r="Q147" s="1284">
        <f>P147+Q39-Q59</f>
        <v>224</v>
      </c>
      <c r="R147" s="1284">
        <f>Q147+R39-R59</f>
        <v>224</v>
      </c>
      <c r="S147" s="1284">
        <f t="shared" si="29"/>
        <v>224</v>
      </c>
      <c r="T147" s="1284">
        <f t="shared" si="29"/>
        <v>224</v>
      </c>
      <c r="U147" s="1284">
        <f t="shared" si="29"/>
        <v>224</v>
      </c>
      <c r="V147" s="1284">
        <f t="shared" si="29"/>
        <v>219</v>
      </c>
      <c r="W147" s="1284">
        <f t="shared" si="29"/>
        <v>219</v>
      </c>
      <c r="X147" s="1284">
        <f t="shared" si="29"/>
        <v>219</v>
      </c>
      <c r="Y147" s="1284">
        <f t="shared" si="29"/>
        <v>219</v>
      </c>
      <c r="Z147" s="1284">
        <f t="shared" si="29"/>
        <v>219</v>
      </c>
      <c r="AA147" s="1284">
        <f t="shared" si="29"/>
        <v>219</v>
      </c>
      <c r="AB147" s="1284">
        <f t="shared" si="29"/>
        <v>219</v>
      </c>
      <c r="AC147" s="1284">
        <f t="shared" si="29"/>
        <v>219</v>
      </c>
      <c r="AD147" s="1284">
        <f t="shared" si="29"/>
        <v>308</v>
      </c>
      <c r="AE147" s="1284">
        <f t="shared" si="29"/>
        <v>308</v>
      </c>
      <c r="AF147" s="1284">
        <f t="shared" si="29"/>
        <v>308</v>
      </c>
      <c r="AG147" s="1284"/>
      <c r="AH147" s="1282"/>
      <c r="AI147" s="1198"/>
    </row>
    <row r="148" spans="1:35" hidden="1">
      <c r="A148" s="1283" t="s">
        <v>196</v>
      </c>
      <c r="B148" s="1256" t="s">
        <v>142</v>
      </c>
      <c r="C148" s="1284">
        <f>C38-C58</f>
        <v>0</v>
      </c>
      <c r="D148" s="1284">
        <f t="shared" ref="D148:AE148" si="30">C148+D38-D58</f>
        <v>0</v>
      </c>
      <c r="E148" s="1284">
        <f t="shared" si="30"/>
        <v>1</v>
      </c>
      <c r="F148" s="1284">
        <f t="shared" si="30"/>
        <v>1</v>
      </c>
      <c r="G148" s="1284">
        <f t="shared" si="30"/>
        <v>1</v>
      </c>
      <c r="H148" s="1284">
        <f t="shared" si="30"/>
        <v>2</v>
      </c>
      <c r="I148" s="1284">
        <f t="shared" si="30"/>
        <v>2</v>
      </c>
      <c r="J148" s="1284">
        <f t="shared" si="30"/>
        <v>1</v>
      </c>
      <c r="K148" s="1284">
        <f t="shared" si="30"/>
        <v>2</v>
      </c>
      <c r="L148" s="1284">
        <f t="shared" si="30"/>
        <v>2</v>
      </c>
      <c r="M148" s="1284">
        <f t="shared" si="30"/>
        <v>2</v>
      </c>
      <c r="N148" s="1284">
        <f t="shared" si="30"/>
        <v>3</v>
      </c>
      <c r="O148" s="1284">
        <f t="shared" si="30"/>
        <v>3</v>
      </c>
      <c r="P148" s="1284">
        <f t="shared" si="30"/>
        <v>3</v>
      </c>
      <c r="Q148" s="1284">
        <f t="shared" si="30"/>
        <v>3</v>
      </c>
      <c r="R148" s="1284">
        <f t="shared" si="30"/>
        <v>3</v>
      </c>
      <c r="S148" s="1284">
        <f t="shared" si="30"/>
        <v>3</v>
      </c>
      <c r="T148" s="1284">
        <f t="shared" si="30"/>
        <v>3</v>
      </c>
      <c r="U148" s="1284">
        <f t="shared" si="30"/>
        <v>3</v>
      </c>
      <c r="V148" s="1284">
        <f t="shared" si="30"/>
        <v>3</v>
      </c>
      <c r="W148" s="1284">
        <f t="shared" si="30"/>
        <v>3</v>
      </c>
      <c r="X148" s="1284">
        <f t="shared" si="30"/>
        <v>3</v>
      </c>
      <c r="Y148" s="1284">
        <f t="shared" si="30"/>
        <v>3</v>
      </c>
      <c r="Z148" s="1284">
        <f t="shared" si="30"/>
        <v>3</v>
      </c>
      <c r="AA148" s="1284">
        <f t="shared" si="30"/>
        <v>3</v>
      </c>
      <c r="AB148" s="1284">
        <f t="shared" si="30"/>
        <v>3</v>
      </c>
      <c r="AC148" s="1284">
        <f t="shared" si="30"/>
        <v>3</v>
      </c>
      <c r="AD148" s="1284">
        <f t="shared" si="30"/>
        <v>4</v>
      </c>
      <c r="AE148" s="1284">
        <f t="shared" si="30"/>
        <v>4</v>
      </c>
      <c r="AF148" s="1284">
        <f>AE148+AF38-AF58</f>
        <v>4</v>
      </c>
      <c r="AG148" s="1284"/>
      <c r="AH148" s="1284"/>
      <c r="AI148" s="1198"/>
    </row>
    <row r="149" spans="1:35" hidden="1">
      <c r="A149" s="1283" t="s">
        <v>197</v>
      </c>
      <c r="B149" s="1256" t="s">
        <v>142</v>
      </c>
      <c r="C149" s="1285"/>
      <c r="D149" s="1285"/>
      <c r="E149" s="1285"/>
      <c r="F149" s="1285"/>
      <c r="G149" s="1285"/>
      <c r="H149" s="1285"/>
      <c r="I149" s="1285"/>
      <c r="J149" s="1285"/>
      <c r="K149" s="1285"/>
      <c r="L149" s="1285"/>
      <c r="M149" s="1286"/>
      <c r="N149" s="1286"/>
      <c r="O149" s="1286"/>
      <c r="P149" s="1286"/>
      <c r="Q149" s="1286"/>
      <c r="R149" s="1286"/>
      <c r="S149" s="1286"/>
      <c r="T149" s="1286"/>
      <c r="U149" s="1286"/>
      <c r="V149" s="1286"/>
      <c r="W149" s="1286"/>
      <c r="X149" s="1286"/>
      <c r="Y149" s="1286"/>
      <c r="Z149" s="1286"/>
      <c r="AA149" s="1286"/>
      <c r="AB149" s="1286"/>
      <c r="AC149" s="1286"/>
      <c r="AD149" s="1286"/>
      <c r="AE149" s="1286"/>
      <c r="AF149" s="1286"/>
      <c r="AG149" s="1286"/>
      <c r="AH149" s="1282"/>
      <c r="AI149" s="1198"/>
    </row>
    <row r="150" spans="1:35" hidden="1">
      <c r="A150" s="1283" t="s">
        <v>198</v>
      </c>
      <c r="B150" s="1256" t="s">
        <v>142</v>
      </c>
      <c r="C150" s="1284">
        <f>C59</f>
        <v>0</v>
      </c>
      <c r="D150" s="1284">
        <f t="shared" ref="D150:AB150" si="31">C150+D59</f>
        <v>0</v>
      </c>
      <c r="E150" s="1284">
        <f t="shared" si="31"/>
        <v>0</v>
      </c>
      <c r="F150" s="1284">
        <f t="shared" si="31"/>
        <v>0</v>
      </c>
      <c r="G150" s="1284">
        <f t="shared" si="31"/>
        <v>0</v>
      </c>
      <c r="H150" s="1284">
        <f t="shared" si="31"/>
        <v>0</v>
      </c>
      <c r="I150" s="1284">
        <f t="shared" si="31"/>
        <v>0</v>
      </c>
      <c r="J150" s="1284">
        <f t="shared" si="31"/>
        <v>7.9999999999999982</v>
      </c>
      <c r="K150" s="1284">
        <f t="shared" si="31"/>
        <v>7.9999999999999982</v>
      </c>
      <c r="L150" s="1284">
        <f t="shared" si="31"/>
        <v>7.9999999999999982</v>
      </c>
      <c r="M150" s="1284">
        <f t="shared" si="31"/>
        <v>7.9999999999999982</v>
      </c>
      <c r="N150" s="1284">
        <f>M150+N59-28</f>
        <v>-20</v>
      </c>
      <c r="O150" s="1284">
        <f t="shared" si="31"/>
        <v>-20</v>
      </c>
      <c r="P150" s="1284">
        <f>O150+P59</f>
        <v>-20</v>
      </c>
      <c r="Q150" s="1284">
        <f>P150+Q59-101</f>
        <v>-121</v>
      </c>
      <c r="R150" s="1284">
        <f t="shared" si="31"/>
        <v>-121</v>
      </c>
      <c r="S150" s="1284">
        <f>R150+S59</f>
        <v>-121</v>
      </c>
      <c r="T150" s="1284">
        <f>S150+T59</f>
        <v>-121</v>
      </c>
      <c r="U150" s="1284">
        <f>T150+U59</f>
        <v>-121</v>
      </c>
      <c r="V150" s="1284">
        <f t="shared" si="31"/>
        <v>-94</v>
      </c>
      <c r="W150" s="1284">
        <f t="shared" si="31"/>
        <v>-94</v>
      </c>
      <c r="X150" s="1284">
        <f>W150+X59-8-16</f>
        <v>-118</v>
      </c>
      <c r="Y150" s="1284">
        <f>X150+Y59</f>
        <v>-118</v>
      </c>
      <c r="Z150" s="1284">
        <f t="shared" si="31"/>
        <v>-118</v>
      </c>
      <c r="AA150" s="1284">
        <f>Z150+AA59</f>
        <v>-118</v>
      </c>
      <c r="AB150" s="1284">
        <f t="shared" si="31"/>
        <v>-118</v>
      </c>
      <c r="AC150" s="1284">
        <f>AB150+AC59</f>
        <v>-118</v>
      </c>
      <c r="AD150" s="1284">
        <f>AC150+AD59</f>
        <v>-118</v>
      </c>
      <c r="AE150" s="1284">
        <f>AD150+AE59</f>
        <v>-118</v>
      </c>
      <c r="AF150" s="1284">
        <f>AE150+AF59-27</f>
        <v>-145</v>
      </c>
      <c r="AG150" s="1284"/>
      <c r="AH150" s="1284"/>
      <c r="AI150" s="1198"/>
    </row>
    <row r="151" spans="1:35">
      <c r="A151" s="1197"/>
      <c r="C151" s="1197"/>
      <c r="D151" s="1197"/>
      <c r="E151" s="1197"/>
      <c r="F151" s="1197"/>
      <c r="G151" s="1197"/>
      <c r="H151" s="1197"/>
      <c r="I151" s="1197"/>
      <c r="J151" s="1197"/>
      <c r="K151" s="1197"/>
      <c r="L151" s="1197"/>
      <c r="M151" s="1197"/>
      <c r="N151" s="1197"/>
      <c r="O151" s="1197"/>
      <c r="P151" s="1197"/>
      <c r="Q151" s="1197"/>
      <c r="R151" s="1197"/>
      <c r="S151" s="1197"/>
      <c r="T151" s="1197"/>
      <c r="U151" s="1197"/>
      <c r="V151" s="1197"/>
      <c r="W151" s="1197"/>
      <c r="X151" s="1197"/>
      <c r="Y151" s="1197"/>
      <c r="Z151" s="1197"/>
      <c r="AA151" s="1197"/>
      <c r="AB151" s="1197"/>
      <c r="AC151" s="1197"/>
      <c r="AD151" s="1197"/>
      <c r="AE151" s="1197"/>
      <c r="AF151" s="1197"/>
      <c r="AG151" s="1197"/>
      <c r="AH151" s="1197"/>
      <c r="AI151" s="1198"/>
    </row>
    <row r="152" spans="1:35">
      <c r="A152" s="1197"/>
      <c r="C152" s="1197"/>
      <c r="D152" s="1197"/>
      <c r="E152" s="1197"/>
      <c r="F152" s="1197"/>
      <c r="G152" s="1197"/>
      <c r="H152" s="1197"/>
      <c r="I152" s="1197"/>
      <c r="J152" s="1197"/>
      <c r="K152" s="1197"/>
      <c r="L152" s="1197"/>
      <c r="M152" s="1197"/>
      <c r="N152" s="1197"/>
      <c r="O152" s="1197"/>
      <c r="P152" s="1197"/>
      <c r="Q152" s="1197"/>
      <c r="R152" s="1197"/>
      <c r="S152" s="1197"/>
      <c r="T152" s="1197"/>
      <c r="U152" s="1197"/>
      <c r="V152" s="1197"/>
      <c r="W152" s="1197"/>
      <c r="X152" s="1197"/>
      <c r="Y152" s="1197"/>
      <c r="Z152" s="1197"/>
      <c r="AA152" s="1197"/>
      <c r="AB152" s="1197"/>
      <c r="AC152" s="1197"/>
      <c r="AD152" s="1197"/>
      <c r="AE152" s="1197"/>
      <c r="AF152" s="1197"/>
      <c r="AG152" s="1197"/>
      <c r="AH152" s="1197"/>
      <c r="AI152" s="1198"/>
    </row>
    <row r="153" spans="1:35">
      <c r="A153" s="1197"/>
      <c r="C153" s="1197"/>
      <c r="D153" s="1197"/>
      <c r="E153" s="1197"/>
      <c r="F153" s="1197"/>
      <c r="G153" s="1197"/>
      <c r="H153" s="1197"/>
      <c r="I153" s="1197"/>
      <c r="J153" s="1197"/>
      <c r="K153" s="1197"/>
      <c r="L153" s="1197"/>
      <c r="M153" s="1197"/>
      <c r="N153" s="1197"/>
      <c r="O153" s="1197"/>
      <c r="P153" s="1197"/>
      <c r="Q153" s="1197"/>
      <c r="R153" s="1197"/>
      <c r="S153" s="1197"/>
      <c r="T153" s="1197"/>
      <c r="U153" s="1197"/>
      <c r="V153" s="1197"/>
      <c r="W153" s="1197"/>
      <c r="X153" s="1197"/>
      <c r="Y153" s="1197"/>
      <c r="Z153" s="1197"/>
      <c r="AA153" s="1197"/>
      <c r="AB153" s="1197"/>
      <c r="AC153" s="1197"/>
      <c r="AD153" s="1197"/>
      <c r="AE153" s="1197"/>
      <c r="AF153" s="1197"/>
      <c r="AG153" s="1197"/>
      <c r="AH153" s="1197"/>
      <c r="AI153" s="1198"/>
    </row>
    <row r="154" spans="1:35">
      <c r="A154" s="1198"/>
      <c r="B154" s="1198"/>
      <c r="AI154" s="1198"/>
    </row>
    <row r="155" spans="1:35">
      <c r="A155" s="1198"/>
      <c r="B155" s="1198"/>
      <c r="AI155" s="1198"/>
    </row>
    <row r="156" spans="1:35">
      <c r="A156" s="1198"/>
      <c r="B156" s="1198"/>
      <c r="AI156" s="1198"/>
    </row>
    <row r="157" spans="1:35">
      <c r="A157" s="1198"/>
      <c r="B157" s="1198"/>
      <c r="AI157" s="1198"/>
    </row>
    <row r="158" spans="1:35">
      <c r="A158" s="1198"/>
      <c r="B158" s="1198"/>
      <c r="AI158" s="1198"/>
    </row>
    <row r="159" spans="1:35">
      <c r="A159" s="1198"/>
      <c r="B159" s="1198"/>
      <c r="AI159" s="1198"/>
    </row>
    <row r="160" spans="1:35">
      <c r="A160" s="1198"/>
      <c r="B160" s="1198"/>
      <c r="AI160" s="1198"/>
    </row>
    <row r="161" spans="1:35">
      <c r="A161" s="1198"/>
      <c r="B161" s="1198"/>
      <c r="AI161" s="1198"/>
    </row>
    <row r="162" spans="1:35">
      <c r="A162" s="1198"/>
      <c r="B162" s="1198"/>
      <c r="AI162" s="1198"/>
    </row>
    <row r="163" spans="1:35">
      <c r="A163" s="1198"/>
      <c r="B163" s="1198"/>
      <c r="AI163" s="1198"/>
    </row>
    <row r="164" spans="1:35">
      <c r="A164" s="1198"/>
      <c r="B164" s="1198"/>
      <c r="AI164" s="1198"/>
    </row>
    <row r="165" spans="1:35">
      <c r="A165" s="1198"/>
      <c r="B165" s="1198"/>
      <c r="AI165" s="1198"/>
    </row>
    <row r="166" spans="1:35">
      <c r="A166" s="1198"/>
      <c r="B166" s="1198"/>
      <c r="AI166" s="1198"/>
    </row>
    <row r="167" spans="1:35">
      <c r="A167" s="1198"/>
      <c r="B167" s="1198"/>
      <c r="AI167" s="1198"/>
    </row>
    <row r="168" spans="1:35">
      <c r="A168" s="1198"/>
      <c r="B168" s="1198"/>
      <c r="AI168" s="1198"/>
    </row>
    <row r="169" spans="1:35">
      <c r="A169" s="1198"/>
      <c r="B169" s="1198"/>
      <c r="AI169" s="1198"/>
    </row>
    <row r="170" spans="1:35">
      <c r="A170" s="1198"/>
      <c r="B170" s="1198"/>
      <c r="AI170" s="1198"/>
    </row>
    <row r="171" spans="1:35">
      <c r="A171" s="1198"/>
      <c r="B171" s="1198"/>
      <c r="AI171" s="1198"/>
    </row>
    <row r="172" spans="1:35">
      <c r="A172" s="1198"/>
      <c r="B172" s="1198"/>
      <c r="AI172" s="1198"/>
    </row>
    <row r="173" spans="1:35">
      <c r="A173" s="1198"/>
      <c r="B173" s="1198"/>
      <c r="AI173" s="1198"/>
    </row>
    <row r="174" spans="1:35">
      <c r="A174" s="1198"/>
      <c r="B174" s="1198"/>
      <c r="AI174" s="1198"/>
    </row>
    <row r="175" spans="1:35" hidden="1">
      <c r="A175" s="1288"/>
      <c r="B175" s="1240"/>
      <c r="C175" s="1289"/>
      <c r="D175" s="1289"/>
      <c r="E175" s="1289"/>
      <c r="F175" s="1289"/>
      <c r="G175" s="1289"/>
      <c r="H175" s="1289"/>
      <c r="I175" s="1289"/>
      <c r="J175" s="1289"/>
      <c r="K175" s="1289"/>
      <c r="L175" s="1289"/>
      <c r="M175" s="1289"/>
      <c r="N175" s="1289"/>
      <c r="O175" s="1289"/>
      <c r="P175" s="1289"/>
      <c r="Q175" s="1289"/>
      <c r="R175" s="1289"/>
      <c r="S175" s="1289"/>
      <c r="T175" s="1289"/>
      <c r="U175" s="1289"/>
      <c r="V175" s="1289"/>
      <c r="W175" s="1289"/>
      <c r="X175" s="1289"/>
      <c r="Y175" s="1289"/>
      <c r="Z175" s="1289"/>
      <c r="AA175" s="1289"/>
      <c r="AB175" s="1289"/>
      <c r="AC175" s="1289"/>
      <c r="AD175" s="1289"/>
      <c r="AE175" s="1289"/>
      <c r="AF175" s="1289"/>
      <c r="AG175" s="1289"/>
      <c r="AH175" s="1290"/>
      <c r="AI175" s="1198"/>
    </row>
    <row r="176" spans="1:35" hidden="1">
      <c r="A176" s="1281"/>
      <c r="B176" s="1240"/>
      <c r="C176" s="1291"/>
      <c r="D176" s="1291"/>
      <c r="E176" s="1291"/>
      <c r="F176" s="1291"/>
      <c r="G176" s="1291"/>
      <c r="H176" s="1291"/>
      <c r="I176" s="1291"/>
      <c r="J176" s="1291"/>
      <c r="K176" s="1291"/>
      <c r="L176" s="1291"/>
      <c r="M176" s="1291"/>
      <c r="N176" s="1291"/>
      <c r="O176" s="1291"/>
      <c r="P176" s="1291"/>
      <c r="Q176" s="1291"/>
      <c r="R176" s="1291"/>
      <c r="S176" s="1291"/>
      <c r="T176" s="1291"/>
      <c r="U176" s="1291"/>
      <c r="V176" s="1291"/>
      <c r="W176" s="1291"/>
      <c r="X176" s="1291"/>
      <c r="Y176" s="1291"/>
      <c r="Z176" s="1291"/>
      <c r="AA176" s="1291"/>
      <c r="AB176" s="1291"/>
      <c r="AC176" s="1291"/>
      <c r="AD176" s="1291"/>
      <c r="AE176" s="1291"/>
      <c r="AF176" s="1291"/>
      <c r="AG176" s="1291"/>
      <c r="AH176" s="1290"/>
      <c r="AI176" s="1198"/>
    </row>
    <row r="177" spans="1:35" hidden="1">
      <c r="A177" s="1281"/>
      <c r="B177" s="1240"/>
      <c r="C177" s="1289"/>
      <c r="D177" s="1289"/>
      <c r="E177" s="1289"/>
      <c r="F177" s="1289"/>
      <c r="G177" s="1289"/>
      <c r="H177" s="1289"/>
      <c r="I177" s="1289"/>
      <c r="J177" s="1289"/>
      <c r="K177" s="1289"/>
      <c r="L177" s="1289"/>
      <c r="M177" s="1289"/>
      <c r="N177" s="1289"/>
      <c r="O177" s="1289"/>
      <c r="P177" s="1289"/>
      <c r="Q177" s="1289"/>
      <c r="R177" s="1289"/>
      <c r="S177" s="1289"/>
      <c r="T177" s="1289"/>
      <c r="U177" s="1289"/>
      <c r="V177" s="1289"/>
      <c r="W177" s="1289"/>
      <c r="X177" s="1289"/>
      <c r="Y177" s="1289"/>
      <c r="Z177" s="1289"/>
      <c r="AA177" s="1289"/>
      <c r="AB177" s="1289"/>
      <c r="AC177" s="1289"/>
      <c r="AD177" s="1289"/>
      <c r="AE177" s="1289"/>
      <c r="AF177" s="1289"/>
      <c r="AG177" s="1289"/>
      <c r="AH177" s="1290"/>
      <c r="AI177" s="1198"/>
    </row>
    <row r="178" spans="1:35" hidden="1">
      <c r="A178" s="1281"/>
      <c r="B178" s="1240"/>
      <c r="C178" s="1291"/>
      <c r="D178" s="1291"/>
      <c r="E178" s="1291"/>
      <c r="F178" s="1291"/>
      <c r="G178" s="1291"/>
      <c r="H178" s="1291"/>
      <c r="I178" s="1291"/>
      <c r="J178" s="1291"/>
      <c r="K178" s="1291"/>
      <c r="L178" s="1291"/>
      <c r="M178" s="1291"/>
      <c r="N178" s="1291"/>
      <c r="O178" s="1291"/>
      <c r="P178" s="1291"/>
      <c r="Q178" s="1291"/>
      <c r="R178" s="1291"/>
      <c r="S178" s="1291"/>
      <c r="T178" s="1291"/>
      <c r="U178" s="1291"/>
      <c r="V178" s="1291"/>
      <c r="W178" s="1291"/>
      <c r="X178" s="1291"/>
      <c r="Y178" s="1291"/>
      <c r="Z178" s="1291"/>
      <c r="AA178" s="1291"/>
      <c r="AB178" s="1291"/>
      <c r="AC178" s="1291"/>
      <c r="AD178" s="1291"/>
      <c r="AE178" s="1291"/>
      <c r="AF178" s="1291"/>
      <c r="AG178" s="1291"/>
      <c r="AH178" s="1290"/>
      <c r="AI178" s="1198"/>
    </row>
    <row r="179" spans="1:35" hidden="1">
      <c r="A179" s="1281"/>
      <c r="B179" s="1240"/>
      <c r="C179" s="1289"/>
      <c r="D179" s="1289"/>
      <c r="E179" s="1289"/>
      <c r="F179" s="1289"/>
      <c r="G179" s="1289"/>
      <c r="H179" s="1289"/>
      <c r="I179" s="1289"/>
      <c r="J179" s="1289"/>
      <c r="K179" s="1289"/>
      <c r="L179" s="1289"/>
      <c r="M179" s="1289"/>
      <c r="N179" s="1289"/>
      <c r="O179" s="1289"/>
      <c r="P179" s="1289"/>
      <c r="Q179" s="1289"/>
      <c r="R179" s="1289"/>
      <c r="S179" s="1289"/>
      <c r="T179" s="1289"/>
      <c r="U179" s="1289"/>
      <c r="V179" s="1289"/>
      <c r="W179" s="1289"/>
      <c r="X179" s="1289"/>
      <c r="Y179" s="1289"/>
      <c r="Z179" s="1289"/>
      <c r="AA179" s="1289"/>
      <c r="AB179" s="1289"/>
      <c r="AC179" s="1289"/>
      <c r="AD179" s="1289"/>
      <c r="AE179" s="1289"/>
      <c r="AF179" s="1289"/>
      <c r="AG179" s="1289"/>
      <c r="AH179" s="1290"/>
      <c r="AI179" s="1198"/>
    </row>
    <row r="180" spans="1:35" hidden="1">
      <c r="A180" s="1281"/>
      <c r="B180" s="1240"/>
      <c r="C180" s="1291"/>
      <c r="D180" s="1291"/>
      <c r="E180" s="1291"/>
      <c r="F180" s="1291"/>
      <c r="G180" s="1291"/>
      <c r="H180" s="1291"/>
      <c r="I180" s="1291"/>
      <c r="J180" s="1291"/>
      <c r="K180" s="1291"/>
      <c r="L180" s="1291"/>
      <c r="M180" s="1291"/>
      <c r="N180" s="1291"/>
      <c r="O180" s="1291"/>
      <c r="P180" s="1291"/>
      <c r="Q180" s="1291"/>
      <c r="R180" s="1291"/>
      <c r="S180" s="1291"/>
      <c r="T180" s="1291"/>
      <c r="U180" s="1291"/>
      <c r="V180" s="1291"/>
      <c r="W180" s="1291"/>
      <c r="X180" s="1291"/>
      <c r="Y180" s="1291"/>
      <c r="Z180" s="1291"/>
      <c r="AA180" s="1291"/>
      <c r="AB180" s="1291"/>
      <c r="AC180" s="1291"/>
      <c r="AD180" s="1291"/>
      <c r="AE180" s="1291"/>
      <c r="AF180" s="1291"/>
      <c r="AG180" s="1291"/>
      <c r="AH180" s="1290"/>
      <c r="AI180" s="1198"/>
    </row>
    <row r="181" spans="1:35" hidden="1">
      <c r="A181" s="1281"/>
      <c r="B181" s="1240"/>
      <c r="C181" s="1289"/>
      <c r="D181" s="1289"/>
      <c r="E181" s="1289"/>
      <c r="F181" s="1289"/>
      <c r="G181" s="1289"/>
      <c r="H181" s="1289"/>
      <c r="I181" s="1289"/>
      <c r="J181" s="1289"/>
      <c r="K181" s="1289"/>
      <c r="L181" s="1289"/>
      <c r="M181" s="1289"/>
      <c r="N181" s="1289"/>
      <c r="O181" s="1289"/>
      <c r="P181" s="1289"/>
      <c r="Q181" s="1289"/>
      <c r="R181" s="1289"/>
      <c r="S181" s="1289"/>
      <c r="T181" s="1289"/>
      <c r="U181" s="1289"/>
      <c r="V181" s="1289"/>
      <c r="W181" s="1289"/>
      <c r="X181" s="1289"/>
      <c r="Y181" s="1289"/>
      <c r="Z181" s="1289"/>
      <c r="AA181" s="1289"/>
      <c r="AB181" s="1289"/>
      <c r="AC181" s="1289"/>
      <c r="AD181" s="1289"/>
      <c r="AE181" s="1289"/>
      <c r="AF181" s="1289"/>
      <c r="AG181" s="1289"/>
      <c r="AH181" s="1290"/>
      <c r="AI181" s="1198"/>
    </row>
    <row r="182" spans="1:35" hidden="1">
      <c r="A182" s="1281"/>
      <c r="B182" s="1240"/>
      <c r="C182" s="1291"/>
      <c r="D182" s="1291"/>
      <c r="E182" s="1291"/>
      <c r="F182" s="1291"/>
      <c r="G182" s="1291"/>
      <c r="H182" s="1291"/>
      <c r="I182" s="1291"/>
      <c r="J182" s="1291"/>
      <c r="K182" s="1291"/>
      <c r="L182" s="1291"/>
      <c r="M182" s="1291"/>
      <c r="N182" s="1291"/>
      <c r="O182" s="1291"/>
      <c r="P182" s="1291"/>
      <c r="Q182" s="1291"/>
      <c r="R182" s="1291"/>
      <c r="S182" s="1291"/>
      <c r="T182" s="1291"/>
      <c r="U182" s="1291"/>
      <c r="V182" s="1291"/>
      <c r="W182" s="1291"/>
      <c r="X182" s="1291"/>
      <c r="Y182" s="1291"/>
      <c r="Z182" s="1291"/>
      <c r="AA182" s="1291"/>
      <c r="AB182" s="1291"/>
      <c r="AC182" s="1291"/>
      <c r="AD182" s="1291"/>
      <c r="AE182" s="1291"/>
      <c r="AF182" s="1291"/>
      <c r="AG182" s="1291"/>
      <c r="AH182" s="1290"/>
      <c r="AI182" s="1198"/>
    </row>
    <row r="183" spans="1:35" hidden="1">
      <c r="A183" s="1281"/>
      <c r="B183" s="1240"/>
      <c r="C183" s="1289"/>
      <c r="D183" s="1289"/>
      <c r="E183" s="1289"/>
      <c r="F183" s="1289"/>
      <c r="G183" s="1289"/>
      <c r="H183" s="1289"/>
      <c r="I183" s="1289"/>
      <c r="J183" s="1289"/>
      <c r="K183" s="1289"/>
      <c r="L183" s="1289"/>
      <c r="M183" s="1289"/>
      <c r="N183" s="1289"/>
      <c r="O183" s="1289"/>
      <c r="P183" s="1289"/>
      <c r="Q183" s="1289"/>
      <c r="R183" s="1289"/>
      <c r="S183" s="1289"/>
      <c r="T183" s="1289"/>
      <c r="U183" s="1289"/>
      <c r="V183" s="1289"/>
      <c r="W183" s="1289"/>
      <c r="X183" s="1289"/>
      <c r="Y183" s="1289"/>
      <c r="Z183" s="1289"/>
      <c r="AA183" s="1289"/>
      <c r="AB183" s="1289"/>
      <c r="AC183" s="1289"/>
      <c r="AD183" s="1289"/>
      <c r="AE183" s="1289"/>
      <c r="AF183" s="1289"/>
      <c r="AG183" s="1289"/>
      <c r="AH183" s="1290"/>
      <c r="AI183" s="1198"/>
    </row>
    <row r="184" spans="1:35" hidden="1">
      <c r="A184" s="1281"/>
      <c r="B184" s="1240"/>
      <c r="C184" s="1291"/>
      <c r="D184" s="1291"/>
      <c r="E184" s="1291"/>
      <c r="F184" s="1291"/>
      <c r="G184" s="1291"/>
      <c r="H184" s="1291"/>
      <c r="I184" s="1291"/>
      <c r="J184" s="1291"/>
      <c r="K184" s="1291"/>
      <c r="L184" s="1291"/>
      <c r="M184" s="1291"/>
      <c r="N184" s="1291"/>
      <c r="O184" s="1291"/>
      <c r="P184" s="1291"/>
      <c r="Q184" s="1291"/>
      <c r="R184" s="1291"/>
      <c r="S184" s="1291"/>
      <c r="T184" s="1291"/>
      <c r="U184" s="1291"/>
      <c r="V184" s="1291"/>
      <c r="W184" s="1291"/>
      <c r="X184" s="1291"/>
      <c r="Y184" s="1291"/>
      <c r="Z184" s="1291"/>
      <c r="AA184" s="1291"/>
      <c r="AB184" s="1291"/>
      <c r="AC184" s="1291"/>
      <c r="AD184" s="1291"/>
      <c r="AE184" s="1291"/>
      <c r="AF184" s="1291"/>
      <c r="AG184" s="1291"/>
      <c r="AH184" s="1290"/>
      <c r="AI184" s="1198"/>
    </row>
    <row r="185" spans="1:35" hidden="1">
      <c r="A185" s="1281"/>
      <c r="B185" s="1292"/>
      <c r="C185" s="1293"/>
      <c r="D185" s="1293"/>
      <c r="E185" s="1293"/>
      <c r="F185" s="1293"/>
      <c r="G185" s="1293"/>
      <c r="H185" s="1293"/>
      <c r="I185" s="1293"/>
      <c r="J185" s="1293"/>
      <c r="K185" s="1293"/>
      <c r="L185" s="1293"/>
      <c r="M185" s="1293"/>
      <c r="N185" s="1293"/>
      <c r="O185" s="1293"/>
      <c r="P185" s="1293"/>
      <c r="Q185" s="1293"/>
      <c r="R185" s="1293"/>
      <c r="S185" s="1293"/>
      <c r="T185" s="1293"/>
      <c r="U185" s="1293"/>
      <c r="V185" s="1293"/>
      <c r="W185" s="1293"/>
      <c r="X185" s="1293"/>
      <c r="Y185" s="1293"/>
      <c r="Z185" s="1293"/>
      <c r="AA185" s="1293"/>
      <c r="AB185" s="1293"/>
      <c r="AC185" s="1293"/>
      <c r="AD185" s="1293"/>
      <c r="AE185" s="1293"/>
      <c r="AF185" s="1293"/>
      <c r="AG185" s="1293"/>
      <c r="AH185" s="1290"/>
      <c r="AI185" s="1198"/>
    </row>
    <row r="186" spans="1:35" hidden="1">
      <c r="A186" s="1288"/>
      <c r="B186" s="1240"/>
      <c r="C186" s="1289"/>
      <c r="D186" s="1289"/>
      <c r="E186" s="1289"/>
      <c r="F186" s="1289"/>
      <c r="G186" s="1289"/>
      <c r="H186" s="1289"/>
      <c r="I186" s="1289"/>
      <c r="J186" s="1289"/>
      <c r="K186" s="1289"/>
      <c r="L186" s="1289"/>
      <c r="M186" s="1289"/>
      <c r="N186" s="1289"/>
      <c r="O186" s="1289"/>
      <c r="P186" s="1289"/>
      <c r="Q186" s="1289"/>
      <c r="R186" s="1289"/>
      <c r="S186" s="1289"/>
      <c r="T186" s="1289"/>
      <c r="U186" s="1289"/>
      <c r="V186" s="1289"/>
      <c r="W186" s="1289"/>
      <c r="X186" s="1289"/>
      <c r="Y186" s="1289"/>
      <c r="Z186" s="1289"/>
      <c r="AA186" s="1289"/>
      <c r="AB186" s="1289"/>
      <c r="AC186" s="1289"/>
      <c r="AD186" s="1289"/>
      <c r="AE186" s="1289"/>
      <c r="AF186" s="1289"/>
      <c r="AG186" s="1289"/>
      <c r="AH186" s="1290"/>
      <c r="AI186" s="1198"/>
    </row>
    <row r="187" spans="1:35" hidden="1">
      <c r="A187" s="1281"/>
      <c r="B187" s="1240"/>
      <c r="C187" s="1291"/>
      <c r="D187" s="1291"/>
      <c r="E187" s="1291"/>
      <c r="F187" s="1291"/>
      <c r="G187" s="1291"/>
      <c r="H187" s="1291"/>
      <c r="I187" s="1291"/>
      <c r="J187" s="1291"/>
      <c r="K187" s="1291"/>
      <c r="L187" s="1291"/>
      <c r="M187" s="1291"/>
      <c r="N187" s="1291"/>
      <c r="O187" s="1291"/>
      <c r="P187" s="1291"/>
      <c r="Q187" s="1291"/>
      <c r="R187" s="1291"/>
      <c r="S187" s="1291"/>
      <c r="T187" s="1291"/>
      <c r="U187" s="1291"/>
      <c r="V187" s="1291"/>
      <c r="W187" s="1291"/>
      <c r="X187" s="1291"/>
      <c r="Y187" s="1291"/>
      <c r="Z187" s="1291"/>
      <c r="AA187" s="1291"/>
      <c r="AB187" s="1291"/>
      <c r="AC187" s="1291"/>
      <c r="AD187" s="1291"/>
      <c r="AE187" s="1291"/>
      <c r="AF187" s="1291"/>
      <c r="AG187" s="1291"/>
      <c r="AH187" s="1290"/>
      <c r="AI187" s="1198"/>
    </row>
    <row r="188" spans="1:35" hidden="1">
      <c r="A188" s="1281"/>
      <c r="B188" s="1240"/>
      <c r="C188" s="1289"/>
      <c r="D188" s="1289"/>
      <c r="E188" s="1289"/>
      <c r="F188" s="1289"/>
      <c r="G188" s="1289"/>
      <c r="H188" s="1289"/>
      <c r="I188" s="1289"/>
      <c r="J188" s="1289"/>
      <c r="K188" s="1289"/>
      <c r="L188" s="1289"/>
      <c r="M188" s="1289"/>
      <c r="N188" s="1289"/>
      <c r="O188" s="1289"/>
      <c r="P188" s="1289"/>
      <c r="Q188" s="1289"/>
      <c r="R188" s="1289"/>
      <c r="S188" s="1289"/>
      <c r="T188" s="1289"/>
      <c r="U188" s="1289"/>
      <c r="V188" s="1289"/>
      <c r="W188" s="1289"/>
      <c r="X188" s="1289"/>
      <c r="Y188" s="1289"/>
      <c r="Z188" s="1289"/>
      <c r="AA188" s="1289"/>
      <c r="AB188" s="1289"/>
      <c r="AC188" s="1289"/>
      <c r="AD188" s="1289"/>
      <c r="AE188" s="1289"/>
      <c r="AF188" s="1289"/>
      <c r="AG188" s="1289"/>
      <c r="AH188" s="1290"/>
      <c r="AI188" s="1198"/>
    </row>
    <row r="189" spans="1:35" hidden="1">
      <c r="A189" s="1281"/>
      <c r="B189" s="1240"/>
      <c r="C189" s="1291"/>
      <c r="D189" s="1291"/>
      <c r="E189" s="1291"/>
      <c r="F189" s="1291"/>
      <c r="G189" s="1291"/>
      <c r="H189" s="1291"/>
      <c r="I189" s="1291"/>
      <c r="J189" s="1291"/>
      <c r="K189" s="1291"/>
      <c r="L189" s="1291"/>
      <c r="M189" s="1291"/>
      <c r="N189" s="1291"/>
      <c r="O189" s="1291"/>
      <c r="P189" s="1291"/>
      <c r="Q189" s="1291"/>
      <c r="R189" s="1291"/>
      <c r="S189" s="1291"/>
      <c r="T189" s="1291"/>
      <c r="U189" s="1291"/>
      <c r="V189" s="1291"/>
      <c r="W189" s="1291"/>
      <c r="X189" s="1291"/>
      <c r="Y189" s="1291"/>
      <c r="Z189" s="1291"/>
      <c r="AA189" s="1291"/>
      <c r="AB189" s="1291"/>
      <c r="AC189" s="1291"/>
      <c r="AD189" s="1291"/>
      <c r="AE189" s="1291"/>
      <c r="AF189" s="1291"/>
      <c r="AG189" s="1291"/>
      <c r="AH189" s="1290"/>
      <c r="AI189" s="1198"/>
    </row>
    <row r="190" spans="1:35" hidden="1">
      <c r="A190" s="1281"/>
      <c r="B190" s="1240"/>
      <c r="C190" s="1289"/>
      <c r="D190" s="1289"/>
      <c r="E190" s="1289"/>
      <c r="F190" s="1289"/>
      <c r="G190" s="1289"/>
      <c r="H190" s="1289"/>
      <c r="I190" s="1289"/>
      <c r="J190" s="1289"/>
      <c r="K190" s="1289"/>
      <c r="L190" s="1289"/>
      <c r="M190" s="1289"/>
      <c r="N190" s="1289"/>
      <c r="O190" s="1289"/>
      <c r="P190" s="1289"/>
      <c r="Q190" s="1289"/>
      <c r="R190" s="1289"/>
      <c r="S190" s="1289"/>
      <c r="T190" s="1289"/>
      <c r="U190" s="1289"/>
      <c r="V190" s="1289"/>
      <c r="W190" s="1289"/>
      <c r="X190" s="1289"/>
      <c r="Y190" s="1289"/>
      <c r="Z190" s="1289"/>
      <c r="AA190" s="1289"/>
      <c r="AB190" s="1289"/>
      <c r="AC190" s="1289"/>
      <c r="AD190" s="1289"/>
      <c r="AE190" s="1289"/>
      <c r="AF190" s="1289"/>
      <c r="AG190" s="1289"/>
      <c r="AH190" s="1290"/>
      <c r="AI190" s="1198"/>
    </row>
    <row r="191" spans="1:35" hidden="1">
      <c r="A191" s="1281"/>
      <c r="B191" s="1240"/>
      <c r="C191" s="1291"/>
      <c r="D191" s="1291"/>
      <c r="E191" s="1291"/>
      <c r="F191" s="1291"/>
      <c r="G191" s="1291"/>
      <c r="H191" s="1291"/>
      <c r="I191" s="1291"/>
      <c r="J191" s="1291"/>
      <c r="K191" s="1291"/>
      <c r="L191" s="1291"/>
      <c r="M191" s="1291"/>
      <c r="N191" s="1291"/>
      <c r="O191" s="1291"/>
      <c r="P191" s="1291"/>
      <c r="Q191" s="1291"/>
      <c r="R191" s="1291"/>
      <c r="S191" s="1291"/>
      <c r="T191" s="1291"/>
      <c r="U191" s="1291"/>
      <c r="V191" s="1291"/>
      <c r="W191" s="1291"/>
      <c r="X191" s="1291"/>
      <c r="Y191" s="1291"/>
      <c r="Z191" s="1291"/>
      <c r="AA191" s="1291"/>
      <c r="AB191" s="1291"/>
      <c r="AC191" s="1291"/>
      <c r="AD191" s="1291"/>
      <c r="AE191" s="1291"/>
      <c r="AF191" s="1291"/>
      <c r="AG191" s="1291"/>
      <c r="AH191" s="1290"/>
      <c r="AI191" s="1198"/>
    </row>
    <row r="192" spans="1:35" hidden="1">
      <c r="A192" s="1281"/>
      <c r="B192" s="1240"/>
      <c r="C192" s="1289"/>
      <c r="D192" s="1289"/>
      <c r="E192" s="1289"/>
      <c r="F192" s="1289"/>
      <c r="G192" s="1289"/>
      <c r="H192" s="1289"/>
      <c r="I192" s="1289"/>
      <c r="J192" s="1289"/>
      <c r="K192" s="1289"/>
      <c r="L192" s="1289"/>
      <c r="M192" s="1289"/>
      <c r="N192" s="1289"/>
      <c r="O192" s="1289"/>
      <c r="P192" s="1289"/>
      <c r="Q192" s="1289"/>
      <c r="R192" s="1289"/>
      <c r="S192" s="1289"/>
      <c r="T192" s="1289"/>
      <c r="U192" s="1289"/>
      <c r="V192" s="1289"/>
      <c r="W192" s="1289"/>
      <c r="X192" s="1289"/>
      <c r="Y192" s="1289"/>
      <c r="Z192" s="1289"/>
      <c r="AA192" s="1289"/>
      <c r="AB192" s="1289"/>
      <c r="AC192" s="1289"/>
      <c r="AD192" s="1289"/>
      <c r="AE192" s="1289"/>
      <c r="AF192" s="1289"/>
      <c r="AG192" s="1289"/>
      <c r="AH192" s="1290"/>
      <c r="AI192" s="1198"/>
    </row>
    <row r="193" spans="1:35" hidden="1">
      <c r="A193" s="1281"/>
      <c r="B193" s="1240"/>
      <c r="C193" s="1291"/>
      <c r="D193" s="1291"/>
      <c r="E193" s="1291"/>
      <c r="F193" s="1291"/>
      <c r="G193" s="1291"/>
      <c r="H193" s="1291"/>
      <c r="I193" s="1291"/>
      <c r="J193" s="1291"/>
      <c r="K193" s="1291"/>
      <c r="L193" s="1291"/>
      <c r="M193" s="1291"/>
      <c r="N193" s="1291"/>
      <c r="O193" s="1291"/>
      <c r="P193" s="1291"/>
      <c r="Q193" s="1291"/>
      <c r="R193" s="1291"/>
      <c r="S193" s="1291"/>
      <c r="T193" s="1291"/>
      <c r="U193" s="1291"/>
      <c r="V193" s="1291"/>
      <c r="W193" s="1291"/>
      <c r="X193" s="1291"/>
      <c r="Y193" s="1291"/>
      <c r="Z193" s="1291"/>
      <c r="AA193" s="1291"/>
      <c r="AB193" s="1291"/>
      <c r="AC193" s="1291"/>
      <c r="AD193" s="1291"/>
      <c r="AE193" s="1291"/>
      <c r="AF193" s="1291"/>
      <c r="AG193" s="1291"/>
      <c r="AH193" s="1290"/>
      <c r="AI193" s="1198"/>
    </row>
    <row r="194" spans="1:35" hidden="1">
      <c r="A194" s="1281"/>
      <c r="B194" s="1240"/>
      <c r="C194" s="1289"/>
      <c r="D194" s="1289"/>
      <c r="E194" s="1289"/>
      <c r="F194" s="1289"/>
      <c r="G194" s="1289"/>
      <c r="H194" s="1289"/>
      <c r="I194" s="1289"/>
      <c r="J194" s="1289"/>
      <c r="K194" s="1289"/>
      <c r="L194" s="1289"/>
      <c r="M194" s="1289"/>
      <c r="N194" s="1289"/>
      <c r="O194" s="1289"/>
      <c r="P194" s="1289"/>
      <c r="Q194" s="1289"/>
      <c r="R194" s="1289"/>
      <c r="S194" s="1289"/>
      <c r="T194" s="1289"/>
      <c r="U194" s="1289"/>
      <c r="V194" s="1289"/>
      <c r="W194" s="1289"/>
      <c r="X194" s="1289"/>
      <c r="Y194" s="1289"/>
      <c r="Z194" s="1289"/>
      <c r="AA194" s="1289"/>
      <c r="AB194" s="1289"/>
      <c r="AC194" s="1289"/>
      <c r="AD194" s="1289"/>
      <c r="AE194" s="1289"/>
      <c r="AF194" s="1289"/>
      <c r="AG194" s="1289"/>
      <c r="AH194" s="1290"/>
      <c r="AI194" s="1198"/>
    </row>
    <row r="195" spans="1:35" hidden="1">
      <c r="A195" s="1281"/>
      <c r="B195" s="1240"/>
      <c r="C195" s="1291"/>
      <c r="D195" s="1291"/>
      <c r="E195" s="1291"/>
      <c r="F195" s="1291"/>
      <c r="G195" s="1291"/>
      <c r="H195" s="1291"/>
      <c r="I195" s="1291"/>
      <c r="J195" s="1291"/>
      <c r="K195" s="1291"/>
      <c r="L195" s="1291"/>
      <c r="M195" s="1291"/>
      <c r="N195" s="1291"/>
      <c r="O195" s="1291"/>
      <c r="P195" s="1291"/>
      <c r="Q195" s="1291"/>
      <c r="R195" s="1291"/>
      <c r="S195" s="1291"/>
      <c r="T195" s="1291"/>
      <c r="U195" s="1291"/>
      <c r="V195" s="1291"/>
      <c r="W195" s="1291"/>
      <c r="X195" s="1291"/>
      <c r="Y195" s="1291"/>
      <c r="Z195" s="1291"/>
      <c r="AA195" s="1291"/>
      <c r="AB195" s="1291"/>
      <c r="AC195" s="1291"/>
      <c r="AD195" s="1291"/>
      <c r="AE195" s="1291"/>
      <c r="AF195" s="1291"/>
      <c r="AG195" s="1291"/>
      <c r="AH195" s="1290"/>
      <c r="AI195" s="1198"/>
    </row>
    <row r="196" spans="1:35" hidden="1">
      <c r="A196" s="1281"/>
      <c r="B196" s="1292"/>
      <c r="C196" s="1293"/>
      <c r="D196" s="1293"/>
      <c r="E196" s="1293"/>
      <c r="F196" s="1293"/>
      <c r="G196" s="1293"/>
      <c r="H196" s="1293"/>
      <c r="I196" s="1293"/>
      <c r="J196" s="1293"/>
      <c r="K196" s="1293"/>
      <c r="L196" s="1293"/>
      <c r="M196" s="1293"/>
      <c r="N196" s="1293"/>
      <c r="O196" s="1293"/>
      <c r="P196" s="1293"/>
      <c r="Q196" s="1293"/>
      <c r="R196" s="1293"/>
      <c r="S196" s="1293"/>
      <c r="T196" s="1293"/>
      <c r="U196" s="1293"/>
      <c r="V196" s="1293"/>
      <c r="W196" s="1293"/>
      <c r="X196" s="1293"/>
      <c r="Y196" s="1293"/>
      <c r="Z196" s="1293"/>
      <c r="AA196" s="1293"/>
      <c r="AB196" s="1293"/>
      <c r="AC196" s="1293"/>
      <c r="AD196" s="1293"/>
      <c r="AE196" s="1293"/>
      <c r="AF196" s="1293"/>
      <c r="AG196" s="1293"/>
      <c r="AH196" s="1294"/>
      <c r="AI196" s="1198"/>
    </row>
    <row r="197" spans="1:35" hidden="1">
      <c r="A197" s="1288"/>
      <c r="B197" s="1240"/>
      <c r="C197" s="1295"/>
      <c r="D197" s="1295"/>
      <c r="E197" s="1295"/>
      <c r="F197" s="1295"/>
      <c r="G197" s="1295"/>
      <c r="H197" s="1295"/>
      <c r="I197" s="1295"/>
      <c r="J197" s="1295"/>
      <c r="K197" s="1295"/>
      <c r="L197" s="1295"/>
      <c r="M197" s="1295"/>
      <c r="N197" s="1295"/>
      <c r="O197" s="1295"/>
      <c r="P197" s="1295"/>
      <c r="Q197" s="1295"/>
      <c r="R197" s="1295"/>
      <c r="S197" s="1295"/>
      <c r="T197" s="1295"/>
      <c r="U197" s="1295"/>
      <c r="V197" s="1295"/>
      <c r="W197" s="1295"/>
      <c r="X197" s="1295"/>
      <c r="Y197" s="1295"/>
      <c r="Z197" s="1295"/>
      <c r="AA197" s="1295"/>
      <c r="AB197" s="1295"/>
      <c r="AC197" s="1295"/>
      <c r="AD197" s="1295"/>
      <c r="AE197" s="1295"/>
      <c r="AF197" s="1295"/>
      <c r="AG197" s="1295"/>
      <c r="AH197" s="1294"/>
      <c r="AI197" s="1198"/>
    </row>
    <row r="198" spans="1:35" hidden="1">
      <c r="A198" s="1288"/>
      <c r="B198" s="1240"/>
      <c r="C198" s="1295"/>
      <c r="D198" s="1295"/>
      <c r="E198" s="1295"/>
      <c r="F198" s="1295"/>
      <c r="G198" s="1295"/>
      <c r="H198" s="1295"/>
      <c r="I198" s="1295"/>
      <c r="J198" s="1295"/>
      <c r="K198" s="1295"/>
      <c r="L198" s="1295"/>
      <c r="M198" s="1295"/>
      <c r="N198" s="1295"/>
      <c r="O198" s="1295"/>
      <c r="P198" s="1295"/>
      <c r="Q198" s="1295"/>
      <c r="R198" s="1295"/>
      <c r="S198" s="1295"/>
      <c r="T198" s="1295"/>
      <c r="U198" s="1295"/>
      <c r="V198" s="1295"/>
      <c r="W198" s="1295"/>
      <c r="X198" s="1295"/>
      <c r="Y198" s="1295"/>
      <c r="Z198" s="1295"/>
      <c r="AA198" s="1295"/>
      <c r="AB198" s="1295"/>
      <c r="AC198" s="1295"/>
      <c r="AD198" s="1295"/>
      <c r="AE198" s="1295"/>
      <c r="AF198" s="1295"/>
      <c r="AG198" s="1295"/>
      <c r="AH198" s="1294"/>
      <c r="AI198" s="1198"/>
    </row>
    <row r="199" spans="1:35" hidden="1">
      <c r="A199" s="1288"/>
      <c r="B199" s="1240"/>
      <c r="C199" s="1295"/>
      <c r="D199" s="1295"/>
      <c r="E199" s="1295"/>
      <c r="F199" s="1295"/>
      <c r="G199" s="1295"/>
      <c r="H199" s="1295"/>
      <c r="I199" s="1295"/>
      <c r="J199" s="1295"/>
      <c r="K199" s="1295"/>
      <c r="L199" s="1295"/>
      <c r="M199" s="1295"/>
      <c r="N199" s="1295"/>
      <c r="O199" s="1295"/>
      <c r="P199" s="1295"/>
      <c r="Q199" s="1295"/>
      <c r="R199" s="1295"/>
      <c r="S199" s="1295"/>
      <c r="T199" s="1295"/>
      <c r="U199" s="1295"/>
      <c r="V199" s="1295"/>
      <c r="W199" s="1295"/>
      <c r="X199" s="1295"/>
      <c r="Y199" s="1295"/>
      <c r="Z199" s="1295"/>
      <c r="AA199" s="1295"/>
      <c r="AB199" s="1295"/>
      <c r="AC199" s="1295"/>
      <c r="AD199" s="1295"/>
      <c r="AE199" s="1295"/>
      <c r="AF199" s="1295"/>
      <c r="AG199" s="1295"/>
      <c r="AH199" s="1294"/>
      <c r="AI199" s="1198"/>
    </row>
    <row r="200" spans="1:35" hidden="1">
      <c r="A200" s="1288"/>
      <c r="B200" s="1240"/>
      <c r="C200" s="1295"/>
      <c r="D200" s="1295"/>
      <c r="E200" s="1295"/>
      <c r="F200" s="1295"/>
      <c r="G200" s="1295"/>
      <c r="H200" s="1295"/>
      <c r="I200" s="1295"/>
      <c r="J200" s="1295"/>
      <c r="K200" s="1295"/>
      <c r="L200" s="1295"/>
      <c r="M200" s="1295"/>
      <c r="N200" s="1295"/>
      <c r="O200" s="1295"/>
      <c r="P200" s="1295"/>
      <c r="Q200" s="1295"/>
      <c r="R200" s="1295"/>
      <c r="S200" s="1295"/>
      <c r="T200" s="1295"/>
      <c r="U200" s="1295"/>
      <c r="V200" s="1295"/>
      <c r="W200" s="1295"/>
      <c r="X200" s="1295"/>
      <c r="Y200" s="1295"/>
      <c r="Z200" s="1295"/>
      <c r="AA200" s="1295"/>
      <c r="AB200" s="1295"/>
      <c r="AC200" s="1295"/>
      <c r="AD200" s="1295"/>
      <c r="AE200" s="1295"/>
      <c r="AF200" s="1295"/>
      <c r="AG200" s="1295"/>
      <c r="AH200" s="1294"/>
      <c r="AI200" s="1198"/>
    </row>
    <row r="201" spans="1:35" hidden="1">
      <c r="A201" s="1288"/>
      <c r="B201" s="1240"/>
      <c r="C201" s="1295"/>
      <c r="D201" s="1295"/>
      <c r="E201" s="1295"/>
      <c r="F201" s="1295"/>
      <c r="G201" s="1295"/>
      <c r="H201" s="1295"/>
      <c r="I201" s="1295"/>
      <c r="J201" s="1295"/>
      <c r="K201" s="1295"/>
      <c r="L201" s="1295"/>
      <c r="M201" s="1295"/>
      <c r="N201" s="1295"/>
      <c r="O201" s="1295"/>
      <c r="P201" s="1295"/>
      <c r="Q201" s="1295"/>
      <c r="R201" s="1295"/>
      <c r="S201" s="1295"/>
      <c r="T201" s="1295"/>
      <c r="U201" s="1295"/>
      <c r="V201" s="1295"/>
      <c r="W201" s="1295"/>
      <c r="X201" s="1295"/>
      <c r="Y201" s="1295"/>
      <c r="Z201" s="1295"/>
      <c r="AA201" s="1295"/>
      <c r="AB201" s="1295"/>
      <c r="AC201" s="1295"/>
      <c r="AD201" s="1295"/>
      <c r="AE201" s="1295"/>
      <c r="AF201" s="1295"/>
      <c r="AG201" s="1295"/>
      <c r="AH201" s="1294"/>
      <c r="AI201" s="1198"/>
    </row>
    <row r="202" spans="1:35" hidden="1">
      <c r="A202" s="1288"/>
      <c r="B202" s="1292"/>
      <c r="C202" s="1293"/>
      <c r="D202" s="1293"/>
      <c r="E202" s="1293"/>
      <c r="F202" s="1293"/>
      <c r="G202" s="1293"/>
      <c r="H202" s="1293"/>
      <c r="I202" s="1293"/>
      <c r="J202" s="1293"/>
      <c r="K202" s="1293"/>
      <c r="L202" s="1293"/>
      <c r="M202" s="1293"/>
      <c r="N202" s="1293"/>
      <c r="O202" s="1293"/>
      <c r="P202" s="1293"/>
      <c r="Q202" s="1293"/>
      <c r="R202" s="1293"/>
      <c r="S202" s="1293"/>
      <c r="T202" s="1293"/>
      <c r="U202" s="1293"/>
      <c r="V202" s="1293"/>
      <c r="W202" s="1293"/>
      <c r="X202" s="1293"/>
      <c r="Y202" s="1293"/>
      <c r="Z202" s="1293"/>
      <c r="AA202" s="1293"/>
      <c r="AB202" s="1293"/>
      <c r="AC202" s="1293"/>
      <c r="AD202" s="1293"/>
      <c r="AE202" s="1293"/>
      <c r="AF202" s="1293"/>
      <c r="AG202" s="1293"/>
      <c r="AH202" s="1294"/>
      <c r="AI202" s="1198"/>
    </row>
    <row r="203" spans="1:35" hidden="1">
      <c r="A203" s="1288"/>
      <c r="B203" s="1240"/>
      <c r="C203" s="1295"/>
      <c r="D203" s="1295"/>
      <c r="E203" s="1295"/>
      <c r="F203" s="1295"/>
      <c r="G203" s="1295"/>
      <c r="H203" s="1295"/>
      <c r="I203" s="1295"/>
      <c r="J203" s="1295"/>
      <c r="K203" s="1295"/>
      <c r="L203" s="1295"/>
      <c r="M203" s="1295"/>
      <c r="N203" s="1295"/>
      <c r="O203" s="1295"/>
      <c r="P203" s="1295"/>
      <c r="Q203" s="1295"/>
      <c r="R203" s="1295"/>
      <c r="S203" s="1295"/>
      <c r="T203" s="1295"/>
      <c r="U203" s="1295"/>
      <c r="V203" s="1295"/>
      <c r="W203" s="1295"/>
      <c r="X203" s="1295"/>
      <c r="Y203" s="1295"/>
      <c r="Z203" s="1295"/>
      <c r="AA203" s="1295"/>
      <c r="AB203" s="1295"/>
      <c r="AC203" s="1295"/>
      <c r="AD203" s="1295"/>
      <c r="AE203" s="1295"/>
      <c r="AF203" s="1295"/>
      <c r="AG203" s="1295"/>
      <c r="AH203" s="1294"/>
      <c r="AI203" s="1198"/>
    </row>
    <row r="204" spans="1:35" hidden="1">
      <c r="A204" s="1288"/>
      <c r="B204" s="1240"/>
      <c r="C204" s="1295"/>
      <c r="D204" s="1295"/>
      <c r="E204" s="1295"/>
      <c r="F204" s="1295"/>
      <c r="G204" s="1295"/>
      <c r="H204" s="1295"/>
      <c r="I204" s="1295"/>
      <c r="J204" s="1295"/>
      <c r="K204" s="1295"/>
      <c r="L204" s="1295"/>
      <c r="M204" s="1295"/>
      <c r="N204" s="1295"/>
      <c r="O204" s="1295"/>
      <c r="P204" s="1295"/>
      <c r="Q204" s="1295"/>
      <c r="R204" s="1295"/>
      <c r="S204" s="1295"/>
      <c r="T204" s="1295"/>
      <c r="U204" s="1295"/>
      <c r="V204" s="1295"/>
      <c r="W204" s="1295"/>
      <c r="X204" s="1295"/>
      <c r="Y204" s="1295"/>
      <c r="Z204" s="1295"/>
      <c r="AA204" s="1295"/>
      <c r="AB204" s="1295"/>
      <c r="AC204" s="1295"/>
      <c r="AD204" s="1295"/>
      <c r="AE204" s="1295"/>
      <c r="AF204" s="1295"/>
      <c r="AG204" s="1295"/>
      <c r="AH204" s="1294"/>
      <c r="AI204" s="1198"/>
    </row>
    <row r="205" spans="1:35" hidden="1">
      <c r="A205" s="1288"/>
      <c r="B205" s="1240"/>
      <c r="C205" s="1295"/>
      <c r="D205" s="1295"/>
      <c r="E205" s="1295"/>
      <c r="F205" s="1295"/>
      <c r="G205" s="1295"/>
      <c r="H205" s="1295"/>
      <c r="I205" s="1295"/>
      <c r="J205" s="1295"/>
      <c r="K205" s="1295"/>
      <c r="L205" s="1295"/>
      <c r="M205" s="1295"/>
      <c r="N205" s="1295"/>
      <c r="O205" s="1295"/>
      <c r="P205" s="1295"/>
      <c r="Q205" s="1295"/>
      <c r="R205" s="1295"/>
      <c r="S205" s="1295"/>
      <c r="T205" s="1295"/>
      <c r="U205" s="1295"/>
      <c r="V205" s="1295"/>
      <c r="W205" s="1295"/>
      <c r="X205" s="1295"/>
      <c r="Y205" s="1295"/>
      <c r="Z205" s="1295"/>
      <c r="AA205" s="1295"/>
      <c r="AB205" s="1295"/>
      <c r="AC205" s="1295"/>
      <c r="AD205" s="1295"/>
      <c r="AE205" s="1295"/>
      <c r="AF205" s="1295"/>
      <c r="AG205" s="1295"/>
      <c r="AH205" s="1294"/>
      <c r="AI205" s="1198"/>
    </row>
    <row r="206" spans="1:35" hidden="1">
      <c r="A206" s="1288"/>
      <c r="B206" s="1240"/>
      <c r="C206" s="1295"/>
      <c r="D206" s="1295"/>
      <c r="E206" s="1295"/>
      <c r="F206" s="1295"/>
      <c r="G206" s="1295"/>
      <c r="H206" s="1295"/>
      <c r="I206" s="1295"/>
      <c r="J206" s="1295"/>
      <c r="K206" s="1295"/>
      <c r="L206" s="1295"/>
      <c r="M206" s="1295"/>
      <c r="N206" s="1295"/>
      <c r="O206" s="1295"/>
      <c r="P206" s="1295"/>
      <c r="Q206" s="1295"/>
      <c r="R206" s="1295"/>
      <c r="S206" s="1295"/>
      <c r="T206" s="1295"/>
      <c r="U206" s="1295"/>
      <c r="V206" s="1295"/>
      <c r="W206" s="1295"/>
      <c r="X206" s="1295"/>
      <c r="Y206" s="1295"/>
      <c r="Z206" s="1295"/>
      <c r="AA206" s="1295"/>
      <c r="AB206" s="1295"/>
      <c r="AC206" s="1295"/>
      <c r="AD206" s="1295"/>
      <c r="AE206" s="1295"/>
      <c r="AF206" s="1295"/>
      <c r="AG206" s="1295"/>
      <c r="AH206" s="1294"/>
      <c r="AI206" s="1198"/>
    </row>
    <row r="207" spans="1:35" hidden="1">
      <c r="A207" s="1288"/>
      <c r="B207" s="1240"/>
      <c r="C207" s="1295"/>
      <c r="D207" s="1295"/>
      <c r="E207" s="1295"/>
      <c r="F207" s="1295"/>
      <c r="G207" s="1295"/>
      <c r="H207" s="1295"/>
      <c r="I207" s="1295"/>
      <c r="J207" s="1295"/>
      <c r="K207" s="1295"/>
      <c r="L207" s="1295"/>
      <c r="M207" s="1295"/>
      <c r="N207" s="1295"/>
      <c r="O207" s="1295"/>
      <c r="P207" s="1295"/>
      <c r="Q207" s="1295"/>
      <c r="R207" s="1295"/>
      <c r="S207" s="1295"/>
      <c r="T207" s="1295"/>
      <c r="U207" s="1295"/>
      <c r="V207" s="1295"/>
      <c r="W207" s="1295"/>
      <c r="X207" s="1295"/>
      <c r="Y207" s="1295"/>
      <c r="Z207" s="1295"/>
      <c r="AA207" s="1295"/>
      <c r="AB207" s="1295"/>
      <c r="AC207" s="1295"/>
      <c r="AD207" s="1295"/>
      <c r="AE207" s="1295"/>
      <c r="AF207" s="1295"/>
      <c r="AG207" s="1295"/>
      <c r="AH207" s="1294"/>
      <c r="AI207" s="1198"/>
    </row>
    <row r="208" spans="1:35" hidden="1">
      <c r="A208" s="1288"/>
      <c r="B208" s="1292"/>
      <c r="C208" s="1293"/>
      <c r="D208" s="1293"/>
      <c r="E208" s="1293"/>
      <c r="F208" s="1293"/>
      <c r="G208" s="1293"/>
      <c r="H208" s="1293"/>
      <c r="I208" s="1293"/>
      <c r="J208" s="1293"/>
      <c r="K208" s="1293"/>
      <c r="L208" s="1293"/>
      <c r="M208" s="1293"/>
      <c r="N208" s="1293"/>
      <c r="O208" s="1293"/>
      <c r="P208" s="1293"/>
      <c r="Q208" s="1293"/>
      <c r="R208" s="1293"/>
      <c r="S208" s="1293"/>
      <c r="T208" s="1293"/>
      <c r="U208" s="1293"/>
      <c r="V208" s="1293"/>
      <c r="W208" s="1293"/>
      <c r="X208" s="1293"/>
      <c r="Y208" s="1293"/>
      <c r="Z208" s="1293"/>
      <c r="AA208" s="1293"/>
      <c r="AB208" s="1293"/>
      <c r="AC208" s="1293"/>
      <c r="AD208" s="1293"/>
      <c r="AE208" s="1293"/>
      <c r="AF208" s="1293"/>
      <c r="AG208" s="1293"/>
      <c r="AH208" s="1294"/>
      <c r="AI208" s="1198"/>
    </row>
    <row r="209" spans="1:35" hidden="1">
      <c r="A209" s="1288"/>
      <c r="B209" s="1240"/>
      <c r="C209" s="1295"/>
      <c r="D209" s="1295"/>
      <c r="E209" s="1295"/>
      <c r="F209" s="1295"/>
      <c r="G209" s="1295"/>
      <c r="H209" s="1295"/>
      <c r="I209" s="1295"/>
      <c r="J209" s="1295"/>
      <c r="K209" s="1295"/>
      <c r="L209" s="1295"/>
      <c r="M209" s="1295"/>
      <c r="N209" s="1295"/>
      <c r="O209" s="1295"/>
      <c r="P209" s="1295"/>
      <c r="Q209" s="1295"/>
      <c r="R209" s="1295"/>
      <c r="S209" s="1295"/>
      <c r="T209" s="1295"/>
      <c r="U209" s="1295"/>
      <c r="V209" s="1295"/>
      <c r="W209" s="1295"/>
      <c r="X209" s="1295"/>
      <c r="Y209" s="1295"/>
      <c r="Z209" s="1295"/>
      <c r="AA209" s="1295"/>
      <c r="AB209" s="1295"/>
      <c r="AC209" s="1295"/>
      <c r="AD209" s="1295"/>
      <c r="AE209" s="1295"/>
      <c r="AF209" s="1295"/>
      <c r="AG209" s="1295"/>
      <c r="AH209" s="1294"/>
      <c r="AI209" s="1198"/>
    </row>
    <row r="210" spans="1:35" hidden="1">
      <c r="A210" s="1288"/>
      <c r="B210" s="1240"/>
      <c r="C210" s="1295"/>
      <c r="D210" s="1295"/>
      <c r="E210" s="1295"/>
      <c r="F210" s="1295"/>
      <c r="G210" s="1295"/>
      <c r="H210" s="1295"/>
      <c r="I210" s="1295"/>
      <c r="J210" s="1295"/>
      <c r="K210" s="1295"/>
      <c r="L210" s="1295"/>
      <c r="M210" s="1295"/>
      <c r="N210" s="1295"/>
      <c r="O210" s="1295"/>
      <c r="P210" s="1295"/>
      <c r="Q210" s="1295"/>
      <c r="R210" s="1295"/>
      <c r="S210" s="1295"/>
      <c r="T210" s="1295"/>
      <c r="U210" s="1295"/>
      <c r="V210" s="1295"/>
      <c r="W210" s="1295"/>
      <c r="X210" s="1295"/>
      <c r="Y210" s="1295"/>
      <c r="Z210" s="1295"/>
      <c r="AA210" s="1295"/>
      <c r="AB210" s="1295"/>
      <c r="AC210" s="1295"/>
      <c r="AD210" s="1295"/>
      <c r="AE210" s="1295"/>
      <c r="AF210" s="1295"/>
      <c r="AG210" s="1295"/>
      <c r="AH210" s="1294"/>
      <c r="AI210" s="1198"/>
    </row>
    <row r="211" spans="1:35" hidden="1">
      <c r="A211" s="1288"/>
      <c r="B211" s="1240"/>
      <c r="C211" s="1295"/>
      <c r="D211" s="1295"/>
      <c r="E211" s="1295"/>
      <c r="F211" s="1295"/>
      <c r="G211" s="1295"/>
      <c r="H211" s="1295"/>
      <c r="I211" s="1295"/>
      <c r="J211" s="1295"/>
      <c r="K211" s="1295"/>
      <c r="L211" s="1295"/>
      <c r="M211" s="1295"/>
      <c r="N211" s="1295"/>
      <c r="O211" s="1295"/>
      <c r="P211" s="1295"/>
      <c r="Q211" s="1295"/>
      <c r="R211" s="1295"/>
      <c r="S211" s="1295"/>
      <c r="T211" s="1295"/>
      <c r="U211" s="1295"/>
      <c r="V211" s="1295"/>
      <c r="W211" s="1295"/>
      <c r="X211" s="1295"/>
      <c r="Y211" s="1295"/>
      <c r="Z211" s="1295"/>
      <c r="AA211" s="1295"/>
      <c r="AB211" s="1295"/>
      <c r="AC211" s="1295"/>
      <c r="AD211" s="1295"/>
      <c r="AE211" s="1295"/>
      <c r="AF211" s="1295"/>
      <c r="AG211" s="1295"/>
      <c r="AH211" s="1294"/>
      <c r="AI211" s="1198"/>
    </row>
    <row r="212" spans="1:35" hidden="1">
      <c r="A212" s="1288"/>
      <c r="B212" s="1240"/>
      <c r="C212" s="1295"/>
      <c r="D212" s="1295"/>
      <c r="E212" s="1295"/>
      <c r="F212" s="1295"/>
      <c r="G212" s="1295"/>
      <c r="H212" s="1295"/>
      <c r="I212" s="1295"/>
      <c r="J212" s="1295"/>
      <c r="K212" s="1295"/>
      <c r="L212" s="1295"/>
      <c r="M212" s="1295"/>
      <c r="N212" s="1295"/>
      <c r="O212" s="1295"/>
      <c r="P212" s="1295"/>
      <c r="Q212" s="1295"/>
      <c r="R212" s="1295"/>
      <c r="S212" s="1295"/>
      <c r="T212" s="1295"/>
      <c r="U212" s="1295"/>
      <c r="V212" s="1295"/>
      <c r="W212" s="1295"/>
      <c r="X212" s="1295"/>
      <c r="Y212" s="1295"/>
      <c r="Z212" s="1295"/>
      <c r="AA212" s="1295"/>
      <c r="AB212" s="1295"/>
      <c r="AC212" s="1295"/>
      <c r="AD212" s="1295"/>
      <c r="AE212" s="1295"/>
      <c r="AF212" s="1295"/>
      <c r="AG212" s="1295"/>
      <c r="AH212" s="1294"/>
      <c r="AI212" s="1198"/>
    </row>
    <row r="213" spans="1:35" hidden="1">
      <c r="A213" s="1288"/>
      <c r="B213" s="1240"/>
      <c r="C213" s="1295"/>
      <c r="D213" s="1295"/>
      <c r="E213" s="1295"/>
      <c r="F213" s="1295"/>
      <c r="G213" s="1295"/>
      <c r="H213" s="1295"/>
      <c r="I213" s="1295"/>
      <c r="J213" s="1295"/>
      <c r="K213" s="1295"/>
      <c r="L213" s="1295"/>
      <c r="M213" s="1295"/>
      <c r="N213" s="1295"/>
      <c r="O213" s="1295"/>
      <c r="P213" s="1295"/>
      <c r="Q213" s="1295"/>
      <c r="R213" s="1295"/>
      <c r="S213" s="1295"/>
      <c r="T213" s="1295"/>
      <c r="U213" s="1295"/>
      <c r="V213" s="1295"/>
      <c r="W213" s="1295"/>
      <c r="X213" s="1295"/>
      <c r="Y213" s="1295"/>
      <c r="Z213" s="1295"/>
      <c r="AA213" s="1295"/>
      <c r="AB213" s="1295"/>
      <c r="AC213" s="1295"/>
      <c r="AD213" s="1295"/>
      <c r="AE213" s="1295"/>
      <c r="AF213" s="1295"/>
      <c r="AG213" s="1295"/>
      <c r="AH213" s="1294"/>
      <c r="AI213" s="1198"/>
    </row>
    <row r="214" spans="1:35" hidden="1">
      <c r="A214" s="1288"/>
      <c r="B214" s="1292"/>
      <c r="C214" s="1293"/>
      <c r="D214" s="1293"/>
      <c r="E214" s="1293"/>
      <c r="F214" s="1293"/>
      <c r="G214" s="1293"/>
      <c r="H214" s="1293"/>
      <c r="I214" s="1293"/>
      <c r="J214" s="1293"/>
      <c r="K214" s="1293"/>
      <c r="L214" s="1293"/>
      <c r="M214" s="1293"/>
      <c r="N214" s="1293"/>
      <c r="O214" s="1293"/>
      <c r="P214" s="1293"/>
      <c r="Q214" s="1293"/>
      <c r="R214" s="1293"/>
      <c r="S214" s="1293"/>
      <c r="T214" s="1293"/>
      <c r="U214" s="1293"/>
      <c r="V214" s="1293"/>
      <c r="W214" s="1293"/>
      <c r="X214" s="1293"/>
      <c r="Y214" s="1293"/>
      <c r="Z214" s="1293"/>
      <c r="AA214" s="1293"/>
      <c r="AB214" s="1293"/>
      <c r="AC214" s="1293"/>
      <c r="AD214" s="1293"/>
      <c r="AE214" s="1293"/>
      <c r="AF214" s="1293"/>
      <c r="AG214" s="1293"/>
      <c r="AH214" s="1294"/>
      <c r="AI214" s="1198"/>
    </row>
    <row r="215" spans="1:35" hidden="1">
      <c r="A215" s="1288"/>
      <c r="B215" s="1240"/>
      <c r="C215" s="1295"/>
      <c r="D215" s="1295"/>
      <c r="E215" s="1295"/>
      <c r="F215" s="1295"/>
      <c r="G215" s="1295"/>
      <c r="H215" s="1295"/>
      <c r="I215" s="1295"/>
      <c r="J215" s="1295"/>
      <c r="K215" s="1295"/>
      <c r="L215" s="1295"/>
      <c r="M215" s="1295"/>
      <c r="N215" s="1295"/>
      <c r="O215" s="1295"/>
      <c r="P215" s="1295"/>
      <c r="Q215" s="1295"/>
      <c r="R215" s="1295"/>
      <c r="S215" s="1295"/>
      <c r="T215" s="1295"/>
      <c r="U215" s="1295"/>
      <c r="V215" s="1295"/>
      <c r="W215" s="1295"/>
      <c r="X215" s="1295"/>
      <c r="Y215" s="1295"/>
      <c r="Z215" s="1295"/>
      <c r="AA215" s="1295"/>
      <c r="AB215" s="1295"/>
      <c r="AC215" s="1295"/>
      <c r="AD215" s="1295"/>
      <c r="AE215" s="1295"/>
      <c r="AF215" s="1295"/>
      <c r="AG215" s="1295"/>
      <c r="AH215" s="1294"/>
      <c r="AI215" s="1198"/>
    </row>
    <row r="216" spans="1:35" hidden="1">
      <c r="A216" s="1288"/>
      <c r="B216" s="1240"/>
      <c r="C216" s="1295"/>
      <c r="D216" s="1295"/>
      <c r="E216" s="1295"/>
      <c r="F216" s="1295"/>
      <c r="G216" s="1295"/>
      <c r="H216" s="1295"/>
      <c r="I216" s="1295"/>
      <c r="J216" s="1295"/>
      <c r="K216" s="1295"/>
      <c r="L216" s="1295"/>
      <c r="M216" s="1295"/>
      <c r="N216" s="1295"/>
      <c r="O216" s="1295"/>
      <c r="P216" s="1295"/>
      <c r="Q216" s="1295"/>
      <c r="R216" s="1295"/>
      <c r="S216" s="1295"/>
      <c r="T216" s="1295"/>
      <c r="U216" s="1295"/>
      <c r="V216" s="1295"/>
      <c r="W216" s="1295"/>
      <c r="X216" s="1295"/>
      <c r="Y216" s="1295"/>
      <c r="Z216" s="1295"/>
      <c r="AA216" s="1295"/>
      <c r="AB216" s="1295"/>
      <c r="AC216" s="1295"/>
      <c r="AD216" s="1295"/>
      <c r="AE216" s="1295"/>
      <c r="AF216" s="1295"/>
      <c r="AG216" s="1295"/>
      <c r="AH216" s="1294"/>
      <c r="AI216" s="1198"/>
    </row>
    <row r="217" spans="1:35" hidden="1">
      <c r="A217" s="1288"/>
      <c r="B217" s="1240"/>
      <c r="C217" s="1295"/>
      <c r="D217" s="1295"/>
      <c r="E217" s="1295"/>
      <c r="F217" s="1295"/>
      <c r="G217" s="1295"/>
      <c r="H217" s="1295"/>
      <c r="I217" s="1295"/>
      <c r="J217" s="1295"/>
      <c r="K217" s="1295"/>
      <c r="L217" s="1295"/>
      <c r="M217" s="1295"/>
      <c r="N217" s="1295"/>
      <c r="O217" s="1295"/>
      <c r="P217" s="1295"/>
      <c r="Q217" s="1295"/>
      <c r="R217" s="1295"/>
      <c r="S217" s="1295"/>
      <c r="T217" s="1295"/>
      <c r="U217" s="1295"/>
      <c r="V217" s="1295"/>
      <c r="W217" s="1295"/>
      <c r="X217" s="1295"/>
      <c r="Y217" s="1295"/>
      <c r="Z217" s="1295"/>
      <c r="AA217" s="1295"/>
      <c r="AB217" s="1295"/>
      <c r="AC217" s="1295"/>
      <c r="AD217" s="1295"/>
      <c r="AE217" s="1295"/>
      <c r="AF217" s="1295"/>
      <c r="AG217" s="1295"/>
      <c r="AH217" s="1294"/>
      <c r="AI217" s="1198"/>
    </row>
    <row r="218" spans="1:35" hidden="1">
      <c r="A218" s="1288"/>
      <c r="B218" s="1240"/>
      <c r="C218" s="1295"/>
      <c r="D218" s="1295"/>
      <c r="E218" s="1295"/>
      <c r="F218" s="1295"/>
      <c r="G218" s="1295"/>
      <c r="H218" s="1295"/>
      <c r="I218" s="1295"/>
      <c r="J218" s="1295"/>
      <c r="K218" s="1295"/>
      <c r="L218" s="1295"/>
      <c r="M218" s="1295"/>
      <c r="N218" s="1295"/>
      <c r="O218" s="1295"/>
      <c r="P218" s="1295"/>
      <c r="Q218" s="1295"/>
      <c r="R218" s="1295"/>
      <c r="S218" s="1295"/>
      <c r="T218" s="1295"/>
      <c r="U218" s="1295"/>
      <c r="V218" s="1295"/>
      <c r="W218" s="1295"/>
      <c r="X218" s="1295"/>
      <c r="Y218" s="1295"/>
      <c r="Z218" s="1295"/>
      <c r="AA218" s="1295"/>
      <c r="AB218" s="1295"/>
      <c r="AC218" s="1295"/>
      <c r="AD218" s="1295"/>
      <c r="AE218" s="1295"/>
      <c r="AF218" s="1295"/>
      <c r="AG218" s="1295"/>
      <c r="AH218" s="1294"/>
      <c r="AI218" s="1198"/>
    </row>
    <row r="219" spans="1:35" hidden="1">
      <c r="A219" s="1288"/>
      <c r="B219" s="1240"/>
      <c r="C219" s="1295"/>
      <c r="D219" s="1295"/>
      <c r="E219" s="1295"/>
      <c r="F219" s="1295"/>
      <c r="G219" s="1295"/>
      <c r="H219" s="1295"/>
      <c r="I219" s="1295"/>
      <c r="J219" s="1295"/>
      <c r="K219" s="1295"/>
      <c r="L219" s="1295"/>
      <c r="M219" s="1295"/>
      <c r="N219" s="1295"/>
      <c r="O219" s="1295"/>
      <c r="P219" s="1295"/>
      <c r="Q219" s="1295"/>
      <c r="R219" s="1295"/>
      <c r="S219" s="1295"/>
      <c r="T219" s="1295"/>
      <c r="U219" s="1295"/>
      <c r="V219" s="1295"/>
      <c r="W219" s="1295"/>
      <c r="X219" s="1295"/>
      <c r="Y219" s="1295"/>
      <c r="Z219" s="1295"/>
      <c r="AA219" s="1295"/>
      <c r="AB219" s="1295"/>
      <c r="AC219" s="1295"/>
      <c r="AD219" s="1295"/>
      <c r="AE219" s="1295"/>
      <c r="AF219" s="1295"/>
      <c r="AG219" s="1295"/>
      <c r="AH219" s="1294"/>
      <c r="AI219" s="1198"/>
    </row>
    <row r="220" spans="1:35">
      <c r="A220" s="1288"/>
      <c r="B220" s="1281"/>
      <c r="C220" s="1294"/>
      <c r="D220" s="1294"/>
      <c r="E220" s="1294"/>
      <c r="F220" s="1294"/>
      <c r="G220" s="1294"/>
      <c r="H220" s="1294"/>
      <c r="I220" s="1294"/>
      <c r="J220" s="1294"/>
      <c r="K220" s="1294"/>
      <c r="L220" s="1294"/>
      <c r="M220" s="1294"/>
      <c r="N220" s="1294"/>
      <c r="O220" s="1294"/>
      <c r="P220" s="1294"/>
      <c r="Q220" s="1294"/>
      <c r="R220" s="1294"/>
      <c r="S220" s="1294"/>
      <c r="T220" s="1294"/>
      <c r="U220" s="1294"/>
      <c r="V220" s="1294"/>
      <c r="W220" s="1294"/>
      <c r="X220" s="1294"/>
      <c r="Y220" s="1294"/>
      <c r="Z220" s="1294"/>
      <c r="AA220" s="1294"/>
      <c r="AB220" s="1294"/>
      <c r="AC220" s="1294"/>
      <c r="AD220" s="1294"/>
      <c r="AE220" s="1294"/>
      <c r="AF220" s="1294"/>
      <c r="AG220" s="1294"/>
      <c r="AH220" s="1294"/>
      <c r="AI220" s="1198"/>
    </row>
    <row r="221" spans="1:35" hidden="1">
      <c r="A221" s="1288"/>
      <c r="B221" s="1240"/>
      <c r="C221" s="1295"/>
      <c r="D221" s="1295"/>
      <c r="E221" s="1295"/>
      <c r="F221" s="1295"/>
      <c r="G221" s="1295"/>
      <c r="H221" s="1295"/>
      <c r="I221" s="1295"/>
      <c r="J221" s="1295"/>
      <c r="K221" s="1295"/>
      <c r="L221" s="1295"/>
      <c r="M221" s="1295"/>
      <c r="N221" s="1295"/>
      <c r="O221" s="1295"/>
      <c r="P221" s="1295"/>
      <c r="Q221" s="1295"/>
      <c r="R221" s="1295"/>
      <c r="S221" s="1295"/>
      <c r="T221" s="1295"/>
      <c r="U221" s="1295"/>
      <c r="V221" s="1295"/>
      <c r="W221" s="1295"/>
      <c r="X221" s="1295"/>
      <c r="Y221" s="1295"/>
      <c r="Z221" s="1295"/>
      <c r="AA221" s="1295"/>
      <c r="AB221" s="1295"/>
      <c r="AC221" s="1295"/>
      <c r="AD221" s="1295"/>
      <c r="AE221" s="1295"/>
      <c r="AF221" s="1295"/>
      <c r="AG221" s="1295"/>
      <c r="AH221" s="1294"/>
      <c r="AI221" s="1198"/>
    </row>
    <row r="222" spans="1:35" hidden="1">
      <c r="A222" s="1288"/>
      <c r="B222" s="1240"/>
      <c r="C222" s="1295"/>
      <c r="D222" s="1295"/>
      <c r="E222" s="1295"/>
      <c r="F222" s="1295"/>
      <c r="G222" s="1295"/>
      <c r="H222" s="1295"/>
      <c r="I222" s="1295"/>
      <c r="J222" s="1295"/>
      <c r="K222" s="1295"/>
      <c r="L222" s="1295"/>
      <c r="M222" s="1295"/>
      <c r="N222" s="1295"/>
      <c r="O222" s="1295"/>
      <c r="P222" s="1295"/>
      <c r="Q222" s="1295"/>
      <c r="R222" s="1295"/>
      <c r="S222" s="1295"/>
      <c r="T222" s="1295"/>
      <c r="U222" s="1295"/>
      <c r="V222" s="1295"/>
      <c r="W222" s="1295"/>
      <c r="X222" s="1295"/>
      <c r="Y222" s="1295"/>
      <c r="Z222" s="1295"/>
      <c r="AA222" s="1295"/>
      <c r="AB222" s="1295"/>
      <c r="AC222" s="1295"/>
      <c r="AD222" s="1295"/>
      <c r="AE222" s="1295"/>
      <c r="AF222" s="1295"/>
      <c r="AG222" s="1295"/>
      <c r="AH222" s="1294"/>
      <c r="AI222" s="1198"/>
    </row>
    <row r="223" spans="1:35" hidden="1">
      <c r="A223" s="1288"/>
      <c r="B223" s="1240"/>
      <c r="C223" s="1295"/>
      <c r="D223" s="1295"/>
      <c r="E223" s="1295"/>
      <c r="F223" s="1295"/>
      <c r="G223" s="1295"/>
      <c r="H223" s="1295"/>
      <c r="I223" s="1295"/>
      <c r="J223" s="1295"/>
      <c r="K223" s="1295"/>
      <c r="L223" s="1295"/>
      <c r="M223" s="1295"/>
      <c r="N223" s="1295"/>
      <c r="O223" s="1295"/>
      <c r="P223" s="1295"/>
      <c r="Q223" s="1295"/>
      <c r="R223" s="1295"/>
      <c r="S223" s="1295"/>
      <c r="T223" s="1295"/>
      <c r="U223" s="1295"/>
      <c r="V223" s="1295"/>
      <c r="W223" s="1295"/>
      <c r="X223" s="1295"/>
      <c r="Y223" s="1295"/>
      <c r="Z223" s="1295"/>
      <c r="AA223" s="1295"/>
      <c r="AB223" s="1295"/>
      <c r="AC223" s="1295"/>
      <c r="AD223" s="1295"/>
      <c r="AE223" s="1295"/>
      <c r="AF223" s="1295"/>
      <c r="AG223" s="1295"/>
      <c r="AH223" s="1294"/>
      <c r="AI223" s="1198"/>
    </row>
    <row r="224" spans="1:35" hidden="1">
      <c r="A224" s="1288"/>
      <c r="B224" s="1240"/>
      <c r="C224" s="1295"/>
      <c r="D224" s="1295"/>
      <c r="E224" s="1295"/>
      <c r="F224" s="1295"/>
      <c r="G224" s="1295"/>
      <c r="H224" s="1295"/>
      <c r="I224" s="1295"/>
      <c r="J224" s="1295"/>
      <c r="K224" s="1295"/>
      <c r="L224" s="1295"/>
      <c r="M224" s="1295"/>
      <c r="N224" s="1295"/>
      <c r="O224" s="1295"/>
      <c r="P224" s="1295"/>
      <c r="Q224" s="1295"/>
      <c r="R224" s="1295"/>
      <c r="S224" s="1295"/>
      <c r="T224" s="1295"/>
      <c r="U224" s="1295"/>
      <c r="V224" s="1295"/>
      <c r="W224" s="1295"/>
      <c r="X224" s="1295"/>
      <c r="Y224" s="1295"/>
      <c r="Z224" s="1295"/>
      <c r="AA224" s="1295"/>
      <c r="AB224" s="1295"/>
      <c r="AC224" s="1295"/>
      <c r="AD224" s="1295"/>
      <c r="AE224" s="1295"/>
      <c r="AF224" s="1295"/>
      <c r="AG224" s="1295"/>
      <c r="AH224" s="1294"/>
      <c r="AI224" s="1198"/>
    </row>
    <row r="225" spans="1:35" hidden="1">
      <c r="A225" s="1288"/>
      <c r="B225" s="1240"/>
      <c r="C225" s="1295"/>
      <c r="D225" s="1295"/>
      <c r="E225" s="1295"/>
      <c r="F225" s="1295"/>
      <c r="G225" s="1295"/>
      <c r="H225" s="1295"/>
      <c r="I225" s="1295"/>
      <c r="J225" s="1295"/>
      <c r="K225" s="1295"/>
      <c r="L225" s="1295"/>
      <c r="M225" s="1295"/>
      <c r="N225" s="1295"/>
      <c r="O225" s="1295"/>
      <c r="P225" s="1295"/>
      <c r="Q225" s="1295"/>
      <c r="R225" s="1295"/>
      <c r="S225" s="1295"/>
      <c r="T225" s="1295"/>
      <c r="U225" s="1295"/>
      <c r="V225" s="1295"/>
      <c r="W225" s="1295"/>
      <c r="X225" s="1295"/>
      <c r="Y225" s="1295"/>
      <c r="Z225" s="1295"/>
      <c r="AA225" s="1295"/>
      <c r="AB225" s="1295"/>
      <c r="AC225" s="1295"/>
      <c r="AD225" s="1295"/>
      <c r="AE225" s="1295"/>
      <c r="AF225" s="1295"/>
      <c r="AG225" s="1295"/>
      <c r="AH225" s="1294"/>
      <c r="AI225" s="1198"/>
    </row>
    <row r="226" spans="1:35">
      <c r="A226" s="1288"/>
      <c r="B226" s="1296"/>
      <c r="C226" s="1297"/>
      <c r="D226" s="1297"/>
      <c r="E226" s="1297"/>
      <c r="F226" s="1297"/>
      <c r="G226" s="1297"/>
      <c r="H226" s="1297"/>
      <c r="I226" s="1297"/>
      <c r="J226" s="1297"/>
      <c r="K226" s="1297"/>
      <c r="L226" s="1297"/>
      <c r="M226" s="1297"/>
      <c r="N226" s="1297"/>
      <c r="O226" s="1297"/>
      <c r="P226" s="1297"/>
      <c r="Q226" s="1297"/>
      <c r="R226" s="1297"/>
      <c r="S226" s="1297"/>
      <c r="T226" s="1297"/>
      <c r="U226" s="1297"/>
      <c r="V226" s="1297"/>
      <c r="W226" s="1297"/>
      <c r="X226" s="1297"/>
      <c r="Y226" s="1297"/>
      <c r="Z226" s="1297"/>
      <c r="AA226" s="1297"/>
      <c r="AB226" s="1297"/>
      <c r="AC226" s="1297"/>
      <c r="AD226" s="1297"/>
      <c r="AE226" s="1297"/>
      <c r="AF226" s="1297"/>
      <c r="AG226" s="1297"/>
      <c r="AH226" s="1294"/>
      <c r="AI226" s="1198"/>
    </row>
    <row r="227" spans="1:35">
      <c r="A227" s="1288"/>
      <c r="B227" s="1296"/>
      <c r="C227" s="1297"/>
      <c r="D227" s="1297"/>
      <c r="E227" s="1297"/>
      <c r="F227" s="1297"/>
      <c r="G227" s="1297"/>
      <c r="H227" s="1297"/>
      <c r="I227" s="1297"/>
      <c r="J227" s="1297"/>
      <c r="K227" s="1297"/>
      <c r="L227" s="1297"/>
      <c r="M227" s="1297"/>
      <c r="N227" s="1297"/>
      <c r="O227" s="1297"/>
      <c r="P227" s="1297"/>
      <c r="Q227" s="1297"/>
      <c r="R227" s="1297"/>
      <c r="S227" s="1297"/>
      <c r="T227" s="1297"/>
      <c r="U227" s="1297"/>
      <c r="V227" s="1297"/>
      <c r="W227" s="1297"/>
      <c r="X227" s="1297"/>
      <c r="Y227" s="1297"/>
      <c r="Z227" s="1297"/>
      <c r="AA227" s="1297"/>
      <c r="AB227" s="1297"/>
      <c r="AC227" s="1297"/>
      <c r="AD227" s="1297"/>
      <c r="AE227" s="1297"/>
      <c r="AF227" s="1297"/>
      <c r="AG227" s="1297"/>
      <c r="AH227" s="1294"/>
      <c r="AI227" s="1198"/>
    </row>
    <row r="228" spans="1:35">
      <c r="A228" s="1288"/>
      <c r="B228" s="1296"/>
      <c r="C228" s="1297"/>
      <c r="D228" s="1297"/>
      <c r="E228" s="1297"/>
      <c r="F228" s="1297"/>
      <c r="G228" s="1297"/>
      <c r="H228" s="1297"/>
      <c r="I228" s="1297"/>
      <c r="J228" s="1297"/>
      <c r="K228" s="1297"/>
      <c r="L228" s="1297"/>
      <c r="M228" s="1297"/>
      <c r="N228" s="1297"/>
      <c r="O228" s="1297"/>
      <c r="P228" s="1297"/>
      <c r="Q228" s="1297"/>
      <c r="R228" s="1297"/>
      <c r="S228" s="1297"/>
      <c r="T228" s="1297"/>
      <c r="U228" s="1297"/>
      <c r="V228" s="1297"/>
      <c r="W228" s="1297"/>
      <c r="X228" s="1297"/>
      <c r="Y228" s="1297"/>
      <c r="Z228" s="1297"/>
      <c r="AA228" s="1297"/>
      <c r="AB228" s="1297"/>
      <c r="AC228" s="1297"/>
      <c r="AD228" s="1297"/>
      <c r="AE228" s="1297"/>
      <c r="AF228" s="1297"/>
      <c r="AG228" s="1297"/>
      <c r="AH228" s="1294"/>
      <c r="AI228" s="1198"/>
    </row>
    <row r="229" spans="1:35">
      <c r="A229" s="1288"/>
      <c r="B229" s="1296"/>
      <c r="C229" s="1297"/>
      <c r="D229" s="1297"/>
      <c r="E229" s="1297"/>
      <c r="F229" s="1297"/>
      <c r="G229" s="1297"/>
      <c r="H229" s="1297"/>
      <c r="I229" s="1297"/>
      <c r="J229" s="1297"/>
      <c r="K229" s="1297"/>
      <c r="L229" s="1297"/>
      <c r="M229" s="1297"/>
      <c r="N229" s="1297"/>
      <c r="O229" s="1297"/>
      <c r="P229" s="1297"/>
      <c r="Q229" s="1297"/>
      <c r="R229" s="1297"/>
      <c r="S229" s="1297"/>
      <c r="T229" s="1297"/>
      <c r="U229" s="1297"/>
      <c r="V229" s="1297"/>
      <c r="W229" s="1297"/>
      <c r="X229" s="1297"/>
      <c r="Y229" s="1297"/>
      <c r="Z229" s="1297"/>
      <c r="AA229" s="1297"/>
      <c r="AB229" s="1297"/>
      <c r="AC229" s="1297"/>
      <c r="AD229" s="1297"/>
      <c r="AE229" s="1297"/>
      <c r="AF229" s="1297"/>
      <c r="AG229" s="1297"/>
      <c r="AH229" s="1294"/>
      <c r="AI229" s="1198"/>
    </row>
    <row r="230" spans="1:35">
      <c r="A230" s="1288"/>
      <c r="B230" s="1296"/>
      <c r="C230" s="1297"/>
      <c r="D230" s="1297"/>
      <c r="E230" s="1297"/>
      <c r="F230" s="1297"/>
      <c r="G230" s="1297"/>
      <c r="H230" s="1297"/>
      <c r="I230" s="1297"/>
      <c r="J230" s="1297"/>
      <c r="K230" s="1297"/>
      <c r="L230" s="1297"/>
      <c r="M230" s="1297"/>
      <c r="N230" s="1297"/>
      <c r="O230" s="1297"/>
      <c r="P230" s="1297"/>
      <c r="Q230" s="1297"/>
      <c r="R230" s="1297"/>
      <c r="S230" s="1297"/>
      <c r="T230" s="1297"/>
      <c r="U230" s="1297"/>
      <c r="V230" s="1297"/>
      <c r="W230" s="1297"/>
      <c r="X230" s="1297"/>
      <c r="Y230" s="1297"/>
      <c r="Z230" s="1297"/>
      <c r="AA230" s="1297"/>
      <c r="AB230" s="1297"/>
      <c r="AC230" s="1297"/>
      <c r="AD230" s="1297"/>
      <c r="AE230" s="1297"/>
      <c r="AF230" s="1297"/>
      <c r="AG230" s="1297"/>
      <c r="AH230" s="1294"/>
      <c r="AI230" s="1198"/>
    </row>
    <row r="231" spans="1:35">
      <c r="A231" s="1288"/>
      <c r="B231" s="1296"/>
      <c r="C231" s="1297"/>
      <c r="D231" s="1297"/>
      <c r="E231" s="1297"/>
      <c r="F231" s="1297"/>
      <c r="G231" s="1297"/>
      <c r="H231" s="1297"/>
      <c r="I231" s="1297"/>
      <c r="J231" s="1297"/>
      <c r="K231" s="1297"/>
      <c r="L231" s="1297"/>
      <c r="M231" s="1297"/>
      <c r="N231" s="1297"/>
      <c r="O231" s="1297"/>
      <c r="P231" s="1297"/>
      <c r="Q231" s="1297"/>
      <c r="R231" s="1297"/>
      <c r="S231" s="1297"/>
      <c r="T231" s="1297"/>
      <c r="U231" s="1297"/>
      <c r="V231" s="1297"/>
      <c r="W231" s="1297"/>
      <c r="X231" s="1297"/>
      <c r="Y231" s="1297"/>
      <c r="Z231" s="1297"/>
      <c r="AA231" s="1297"/>
      <c r="AB231" s="1297"/>
      <c r="AC231" s="1297"/>
      <c r="AD231" s="1297"/>
      <c r="AE231" s="1297"/>
      <c r="AF231" s="1297"/>
      <c r="AG231" s="1297"/>
      <c r="AH231" s="1294"/>
      <c r="AI231" s="1198"/>
    </row>
    <row r="232" spans="1:35">
      <c r="A232" s="1288"/>
      <c r="B232" s="1296"/>
      <c r="C232" s="1297"/>
      <c r="D232" s="1297"/>
      <c r="E232" s="1297"/>
      <c r="F232" s="1297"/>
      <c r="G232" s="1297"/>
      <c r="H232" s="1297"/>
      <c r="I232" s="1297"/>
      <c r="J232" s="1297"/>
      <c r="K232" s="1297"/>
      <c r="L232" s="1297"/>
      <c r="M232" s="1297"/>
      <c r="N232" s="1297"/>
      <c r="O232" s="1297"/>
      <c r="P232" s="1297"/>
      <c r="Q232" s="1297"/>
      <c r="R232" s="1297"/>
      <c r="S232" s="1297"/>
      <c r="T232" s="1297"/>
      <c r="U232" s="1297"/>
      <c r="V232" s="1297"/>
      <c r="W232" s="1297"/>
      <c r="X232" s="1297"/>
      <c r="Y232" s="1297"/>
      <c r="Z232" s="1297"/>
      <c r="AA232" s="1297"/>
      <c r="AB232" s="1297"/>
      <c r="AC232" s="1297"/>
      <c r="AD232" s="1297"/>
      <c r="AE232" s="1297"/>
      <c r="AF232" s="1297"/>
      <c r="AG232" s="1297"/>
      <c r="AH232" s="1294"/>
      <c r="AI232" s="1198"/>
    </row>
    <row r="233" spans="1:35">
      <c r="A233" s="1288"/>
      <c r="B233" s="1296"/>
      <c r="C233" s="1297"/>
      <c r="D233" s="1297"/>
      <c r="E233" s="1297"/>
      <c r="F233" s="1297"/>
      <c r="G233" s="1297"/>
      <c r="H233" s="1297"/>
      <c r="I233" s="1297"/>
      <c r="J233" s="1297"/>
      <c r="K233" s="1297"/>
      <c r="L233" s="1297"/>
      <c r="M233" s="1297"/>
      <c r="N233" s="1297"/>
      <c r="O233" s="1297"/>
      <c r="P233" s="1297"/>
      <c r="Q233" s="1297"/>
      <c r="R233" s="1297"/>
      <c r="S233" s="1297"/>
      <c r="T233" s="1297"/>
      <c r="U233" s="1297"/>
      <c r="V233" s="1297"/>
      <c r="W233" s="1297"/>
      <c r="X233" s="1297"/>
      <c r="Y233" s="1297"/>
      <c r="Z233" s="1297"/>
      <c r="AA233" s="1297"/>
      <c r="AB233" s="1297"/>
      <c r="AC233" s="1297"/>
      <c r="AD233" s="1297"/>
      <c r="AE233" s="1297"/>
      <c r="AF233" s="1297"/>
      <c r="AG233" s="1297"/>
      <c r="AH233" s="1294"/>
      <c r="AI233" s="1198"/>
    </row>
    <row r="234" spans="1:35">
      <c r="A234" s="1288"/>
      <c r="B234" s="1296"/>
      <c r="C234" s="1297"/>
      <c r="D234" s="1297"/>
      <c r="E234" s="1297"/>
      <c r="F234" s="1297"/>
      <c r="G234" s="1297"/>
      <c r="H234" s="1297"/>
      <c r="I234" s="1297"/>
      <c r="J234" s="1297"/>
      <c r="K234" s="1297"/>
      <c r="L234" s="1297"/>
      <c r="M234" s="1297"/>
      <c r="N234" s="1297"/>
      <c r="O234" s="1297"/>
      <c r="P234" s="1297"/>
      <c r="Q234" s="1297"/>
      <c r="R234" s="1297"/>
      <c r="S234" s="1297"/>
      <c r="T234" s="1297"/>
      <c r="U234" s="1297"/>
      <c r="V234" s="1297"/>
      <c r="W234" s="1297"/>
      <c r="X234" s="1297"/>
      <c r="Y234" s="1297"/>
      <c r="Z234" s="1297"/>
      <c r="AA234" s="1297"/>
      <c r="AB234" s="1297"/>
      <c r="AC234" s="1297"/>
      <c r="AD234" s="1297"/>
      <c r="AE234" s="1297"/>
      <c r="AF234" s="1297"/>
      <c r="AG234" s="1297"/>
      <c r="AH234" s="1294"/>
      <c r="AI234" s="1198"/>
    </row>
    <row r="235" spans="1:35">
      <c r="A235" s="1288"/>
      <c r="B235" s="1296"/>
      <c r="C235" s="1297"/>
      <c r="D235" s="1297"/>
      <c r="E235" s="1297"/>
      <c r="F235" s="1297"/>
      <c r="G235" s="1297"/>
      <c r="H235" s="1297"/>
      <c r="I235" s="1297"/>
      <c r="J235" s="1297"/>
      <c r="K235" s="1297"/>
      <c r="L235" s="1297"/>
      <c r="M235" s="1297"/>
      <c r="N235" s="1297"/>
      <c r="O235" s="1297"/>
      <c r="P235" s="1297"/>
      <c r="Q235" s="1297"/>
      <c r="R235" s="1297"/>
      <c r="S235" s="1297"/>
      <c r="T235" s="1297"/>
      <c r="U235" s="1297"/>
      <c r="V235" s="1297"/>
      <c r="W235" s="1297"/>
      <c r="X235" s="1297"/>
      <c r="Y235" s="1297"/>
      <c r="Z235" s="1297"/>
      <c r="AA235" s="1297"/>
      <c r="AB235" s="1297"/>
      <c r="AC235" s="1297"/>
      <c r="AD235" s="1297"/>
      <c r="AE235" s="1297"/>
      <c r="AF235" s="1297"/>
      <c r="AG235" s="1297"/>
      <c r="AH235" s="1294"/>
      <c r="AI235" s="1198"/>
    </row>
    <row r="236" spans="1:35">
      <c r="A236" s="1288"/>
      <c r="B236" s="1296"/>
      <c r="C236" s="1297"/>
      <c r="D236" s="1297"/>
      <c r="E236" s="1297"/>
      <c r="F236" s="1297"/>
      <c r="G236" s="1297"/>
      <c r="H236" s="1297"/>
      <c r="I236" s="1297"/>
      <c r="J236" s="1297"/>
      <c r="K236" s="1297"/>
      <c r="L236" s="1297"/>
      <c r="M236" s="1297"/>
      <c r="N236" s="1297"/>
      <c r="O236" s="1297"/>
      <c r="P236" s="1297"/>
      <c r="Q236" s="1297"/>
      <c r="R236" s="1297"/>
      <c r="S236" s="1297"/>
      <c r="T236" s="1297"/>
      <c r="U236" s="1297"/>
      <c r="V236" s="1297"/>
      <c r="W236" s="1297"/>
      <c r="X236" s="1297"/>
      <c r="Y236" s="1297"/>
      <c r="Z236" s="1297"/>
      <c r="AA236" s="1297"/>
      <c r="AB236" s="1297"/>
      <c r="AC236" s="1297"/>
      <c r="AD236" s="1297"/>
      <c r="AE236" s="1297"/>
      <c r="AF236" s="1297"/>
      <c r="AG236" s="1297"/>
      <c r="AH236" s="1294"/>
      <c r="AI236" s="1198"/>
    </row>
    <row r="237" spans="1:35">
      <c r="A237" s="1288"/>
      <c r="B237" s="1296"/>
      <c r="C237" s="1297"/>
      <c r="D237" s="1297"/>
      <c r="E237" s="1297"/>
      <c r="F237" s="1297"/>
      <c r="G237" s="1297"/>
      <c r="H237" s="1297"/>
      <c r="I237" s="1297"/>
      <c r="J237" s="1297"/>
      <c r="K237" s="1297"/>
      <c r="L237" s="1297"/>
      <c r="M237" s="1297"/>
      <c r="N237" s="1297"/>
      <c r="O237" s="1297"/>
      <c r="P237" s="1297"/>
      <c r="Q237" s="1297"/>
      <c r="R237" s="1297"/>
      <c r="S237" s="1297"/>
      <c r="T237" s="1297"/>
      <c r="U237" s="1297"/>
      <c r="V237" s="1297"/>
      <c r="W237" s="1297"/>
      <c r="X237" s="1297"/>
      <c r="Y237" s="1297"/>
      <c r="Z237" s="1297"/>
      <c r="AA237" s="1297"/>
      <c r="AB237" s="1297"/>
      <c r="AC237" s="1297"/>
      <c r="AD237" s="1297"/>
      <c r="AE237" s="1297"/>
      <c r="AF237" s="1297"/>
      <c r="AG237" s="1297"/>
      <c r="AH237" s="1294"/>
      <c r="AI237" s="1198"/>
    </row>
    <row r="238" spans="1:35">
      <c r="A238" s="1288"/>
      <c r="B238" s="1296"/>
      <c r="C238" s="1297"/>
      <c r="D238" s="1297"/>
      <c r="E238" s="1297"/>
      <c r="F238" s="1297"/>
      <c r="G238" s="1297"/>
      <c r="H238" s="1297"/>
      <c r="I238" s="1297"/>
      <c r="J238" s="1297"/>
      <c r="K238" s="1297"/>
      <c r="L238" s="1297"/>
      <c r="M238" s="1297"/>
      <c r="N238" s="1297"/>
      <c r="O238" s="1297"/>
      <c r="P238" s="1297"/>
      <c r="Q238" s="1297"/>
      <c r="R238" s="1297"/>
      <c r="S238" s="1297"/>
      <c r="T238" s="1297"/>
      <c r="U238" s="1297"/>
      <c r="V238" s="1297"/>
      <c r="W238" s="1297"/>
      <c r="X238" s="1297"/>
      <c r="Y238" s="1297"/>
      <c r="Z238" s="1297"/>
      <c r="AA238" s="1297"/>
      <c r="AB238" s="1297"/>
      <c r="AC238" s="1297"/>
      <c r="AD238" s="1297"/>
      <c r="AE238" s="1297"/>
      <c r="AF238" s="1297"/>
      <c r="AG238" s="1297"/>
      <c r="AH238" s="1294"/>
      <c r="AI238" s="1198"/>
    </row>
    <row r="239" spans="1:35">
      <c r="A239" s="1288"/>
      <c r="B239" s="1296"/>
      <c r="C239" s="1297"/>
      <c r="D239" s="1297"/>
      <c r="E239" s="1297"/>
      <c r="F239" s="1297"/>
      <c r="G239" s="1297"/>
      <c r="H239" s="1297"/>
      <c r="I239" s="1297"/>
      <c r="J239" s="1297"/>
      <c r="K239" s="1297"/>
      <c r="L239" s="1297"/>
      <c r="M239" s="1297"/>
      <c r="N239" s="1297"/>
      <c r="O239" s="1297"/>
      <c r="P239" s="1297"/>
      <c r="Q239" s="1297"/>
      <c r="R239" s="1297"/>
      <c r="S239" s="1297"/>
      <c r="T239" s="1297"/>
      <c r="U239" s="1297"/>
      <c r="V239" s="1297"/>
      <c r="W239" s="1297"/>
      <c r="X239" s="1297"/>
      <c r="Y239" s="1297"/>
      <c r="Z239" s="1297"/>
      <c r="AA239" s="1297"/>
      <c r="AB239" s="1297"/>
      <c r="AC239" s="1297"/>
      <c r="AD239" s="1297"/>
      <c r="AE239" s="1297"/>
      <c r="AF239" s="1297"/>
      <c r="AG239" s="1297"/>
      <c r="AH239" s="1294"/>
      <c r="AI239" s="1198"/>
    </row>
    <row r="240" spans="1:35">
      <c r="A240" s="1288"/>
      <c r="B240" s="1296"/>
      <c r="C240" s="1297"/>
      <c r="D240" s="1297"/>
      <c r="E240" s="1297"/>
      <c r="F240" s="1297"/>
      <c r="G240" s="1297"/>
      <c r="H240" s="1297"/>
      <c r="I240" s="1297"/>
      <c r="J240" s="1297"/>
      <c r="K240" s="1297"/>
      <c r="L240" s="1297"/>
      <c r="M240" s="1297"/>
      <c r="N240" s="1297"/>
      <c r="O240" s="1297"/>
      <c r="P240" s="1297"/>
      <c r="Q240" s="1297"/>
      <c r="R240" s="1297"/>
      <c r="S240" s="1297"/>
      <c r="T240" s="1297"/>
      <c r="U240" s="1297"/>
      <c r="V240" s="1297"/>
      <c r="W240" s="1297"/>
      <c r="X240" s="1297"/>
      <c r="Y240" s="1297"/>
      <c r="Z240" s="1297"/>
      <c r="AA240" s="1297"/>
      <c r="AB240" s="1297"/>
      <c r="AC240" s="1297"/>
      <c r="AD240" s="1297"/>
      <c r="AE240" s="1297"/>
      <c r="AF240" s="1297"/>
      <c r="AG240" s="1297"/>
      <c r="AH240" s="1294"/>
      <c r="AI240" s="1198"/>
    </row>
    <row r="241" spans="1:35">
      <c r="A241" s="1288"/>
      <c r="B241" s="1296"/>
      <c r="C241" s="1297"/>
      <c r="D241" s="1297"/>
      <c r="E241" s="1297"/>
      <c r="F241" s="1297"/>
      <c r="G241" s="1297"/>
      <c r="H241" s="1297"/>
      <c r="I241" s="1297"/>
      <c r="J241" s="1297"/>
      <c r="K241" s="1297"/>
      <c r="L241" s="1297"/>
      <c r="M241" s="1297"/>
      <c r="N241" s="1297"/>
      <c r="O241" s="1297"/>
      <c r="P241" s="1297"/>
      <c r="Q241" s="1297"/>
      <c r="R241" s="1297"/>
      <c r="S241" s="1297"/>
      <c r="T241" s="1297"/>
      <c r="U241" s="1297"/>
      <c r="V241" s="1297"/>
      <c r="W241" s="1297"/>
      <c r="X241" s="1297"/>
      <c r="Y241" s="1297"/>
      <c r="Z241" s="1297"/>
      <c r="AA241" s="1297"/>
      <c r="AB241" s="1297"/>
      <c r="AC241" s="1297"/>
      <c r="AD241" s="1297"/>
      <c r="AE241" s="1297"/>
      <c r="AF241" s="1297"/>
      <c r="AG241" s="1297"/>
      <c r="AH241" s="1294"/>
      <c r="AI241" s="1198"/>
    </row>
    <row r="242" spans="1:35">
      <c r="A242" s="1288"/>
      <c r="B242" s="1296"/>
      <c r="C242" s="1297"/>
      <c r="D242" s="1297"/>
      <c r="E242" s="1297"/>
      <c r="F242" s="1297"/>
      <c r="G242" s="1297"/>
      <c r="H242" s="1297"/>
      <c r="I242" s="1297"/>
      <c r="J242" s="1297"/>
      <c r="K242" s="1297"/>
      <c r="L242" s="1297"/>
      <c r="M242" s="1297"/>
      <c r="N242" s="1297"/>
      <c r="O242" s="1297"/>
      <c r="P242" s="1297"/>
      <c r="Q242" s="1297"/>
      <c r="R242" s="1297"/>
      <c r="S242" s="1297"/>
      <c r="T242" s="1297"/>
      <c r="U242" s="1297"/>
      <c r="V242" s="1297"/>
      <c r="W242" s="1297"/>
      <c r="X242" s="1297"/>
      <c r="Y242" s="1297"/>
      <c r="Z242" s="1297"/>
      <c r="AA242" s="1297"/>
      <c r="AB242" s="1297"/>
      <c r="AC242" s="1297"/>
      <c r="AD242" s="1297"/>
      <c r="AE242" s="1297"/>
      <c r="AF242" s="1297"/>
      <c r="AG242" s="1297"/>
      <c r="AH242" s="1294"/>
      <c r="AI242" s="1198"/>
    </row>
    <row r="243" spans="1:35">
      <c r="A243" s="1288"/>
      <c r="B243" s="1296"/>
      <c r="C243" s="1297"/>
      <c r="D243" s="1297"/>
      <c r="E243" s="1297"/>
      <c r="F243" s="1297"/>
      <c r="G243" s="1297"/>
      <c r="H243" s="1297"/>
      <c r="I243" s="1297"/>
      <c r="J243" s="1297"/>
      <c r="K243" s="1297"/>
      <c r="L243" s="1297"/>
      <c r="M243" s="1297"/>
      <c r="N243" s="1297"/>
      <c r="O243" s="1297"/>
      <c r="P243" s="1297"/>
      <c r="Q243" s="1297"/>
      <c r="R243" s="1297"/>
      <c r="S243" s="1297"/>
      <c r="T243" s="1297"/>
      <c r="U243" s="1297"/>
      <c r="V243" s="1297"/>
      <c r="W243" s="1297"/>
      <c r="X243" s="1297"/>
      <c r="Y243" s="1297"/>
      <c r="Z243" s="1297"/>
      <c r="AA243" s="1297"/>
      <c r="AB243" s="1297"/>
      <c r="AC243" s="1297"/>
      <c r="AD243" s="1297"/>
      <c r="AE243" s="1297"/>
      <c r="AF243" s="1297"/>
      <c r="AG243" s="1297"/>
      <c r="AH243" s="1294"/>
      <c r="AI243" s="1198"/>
    </row>
    <row r="244" spans="1:35" ht="30.75" customHeight="1">
      <c r="A244" s="2139" t="s">
        <v>199</v>
      </c>
      <c r="B244" s="2139"/>
      <c r="C244" s="2139"/>
      <c r="D244" s="2139"/>
      <c r="E244" s="2139"/>
      <c r="F244" s="2139"/>
      <c r="G244" s="2139"/>
      <c r="H244" s="2139"/>
      <c r="I244" s="2139"/>
      <c r="J244" s="2139"/>
      <c r="K244" s="2139"/>
      <c r="L244" s="2139"/>
      <c r="M244" s="2139"/>
      <c r="N244" s="2139"/>
      <c r="O244" s="2139"/>
      <c r="P244" s="2139"/>
      <c r="Q244" s="2139"/>
      <c r="R244" s="2139"/>
      <c r="S244" s="2139"/>
      <c r="T244" s="2139"/>
      <c r="U244" s="2139"/>
      <c r="V244" s="2139"/>
      <c r="W244" s="2139"/>
      <c r="X244" s="2139"/>
      <c r="Y244" s="2139"/>
      <c r="Z244" s="2139"/>
      <c r="AA244" s="2139"/>
      <c r="AB244" s="2139"/>
      <c r="AC244" s="2139"/>
      <c r="AD244" s="2139"/>
      <c r="AE244" s="2139"/>
      <c r="AF244" s="2139"/>
      <c r="AG244" s="2139"/>
      <c r="AH244" s="2139"/>
      <c r="AI244" s="1198"/>
    </row>
    <row r="245" spans="1:35">
      <c r="A245" s="1287"/>
      <c r="B245" s="1281"/>
      <c r="C245" s="1298"/>
      <c r="D245" s="1298"/>
      <c r="E245" s="1298"/>
      <c r="F245" s="1298"/>
      <c r="G245" s="1298"/>
      <c r="H245" s="1298"/>
      <c r="I245" s="1298"/>
      <c r="J245" s="1298"/>
      <c r="K245" s="1298"/>
      <c r="L245" s="1298"/>
      <c r="M245" s="1298"/>
      <c r="N245" s="1298"/>
      <c r="O245" s="1298"/>
      <c r="P245" s="1298"/>
      <c r="Q245" s="1298"/>
      <c r="R245" s="1298"/>
      <c r="S245" s="1298"/>
      <c r="T245" s="1298"/>
      <c r="U245" s="1298"/>
      <c r="V245" s="1298"/>
      <c r="W245" s="1298"/>
      <c r="X245" s="1298"/>
      <c r="Y245" s="1298"/>
      <c r="Z245" s="1298"/>
      <c r="AA245" s="1298"/>
      <c r="AB245" s="1298"/>
      <c r="AC245" s="1298"/>
      <c r="AD245" s="1298"/>
      <c r="AE245" s="1298"/>
      <c r="AF245" s="1298"/>
      <c r="AG245" s="1298"/>
      <c r="AH245" s="1298"/>
      <c r="AI245" s="1198"/>
    </row>
    <row r="246" spans="1:35" ht="15.75">
      <c r="A246" s="2138" t="s">
        <v>164</v>
      </c>
      <c r="B246" s="2138"/>
      <c r="C246" s="1205">
        <f t="shared" ref="C246:AD246" si="32">C3</f>
        <v>1</v>
      </c>
      <c r="D246" s="1205">
        <f t="shared" si="32"/>
        <v>2</v>
      </c>
      <c r="E246" s="1205">
        <f t="shared" si="32"/>
        <v>3</v>
      </c>
      <c r="F246" s="1205">
        <f t="shared" si="32"/>
        <v>4</v>
      </c>
      <c r="G246" s="1205">
        <f t="shared" si="32"/>
        <v>5</v>
      </c>
      <c r="H246" s="1205">
        <f t="shared" si="32"/>
        <v>6</v>
      </c>
      <c r="I246" s="1205">
        <f t="shared" si="32"/>
        <v>7</v>
      </c>
      <c r="J246" s="1205">
        <f t="shared" si="32"/>
        <v>8</v>
      </c>
      <c r="K246" s="1205">
        <f t="shared" si="32"/>
        <v>9</v>
      </c>
      <c r="L246" s="1205">
        <f t="shared" si="32"/>
        <v>10</v>
      </c>
      <c r="M246" s="1205">
        <f t="shared" si="32"/>
        <v>11</v>
      </c>
      <c r="N246" s="1205">
        <f t="shared" si="32"/>
        <v>12</v>
      </c>
      <c r="O246" s="1205">
        <f t="shared" si="32"/>
        <v>13</v>
      </c>
      <c r="P246" s="1205">
        <f t="shared" si="32"/>
        <v>14</v>
      </c>
      <c r="Q246" s="1205">
        <f t="shared" si="32"/>
        <v>15</v>
      </c>
      <c r="R246" s="1205">
        <f t="shared" si="32"/>
        <v>16</v>
      </c>
      <c r="S246" s="1205">
        <f t="shared" si="32"/>
        <v>17</v>
      </c>
      <c r="T246" s="1205">
        <f t="shared" si="32"/>
        <v>18</v>
      </c>
      <c r="U246" s="1205">
        <f t="shared" si="32"/>
        <v>19</v>
      </c>
      <c r="V246" s="1205">
        <f t="shared" si="32"/>
        <v>20</v>
      </c>
      <c r="W246" s="1205">
        <f t="shared" si="32"/>
        <v>21</v>
      </c>
      <c r="X246" s="1205">
        <f t="shared" si="32"/>
        <v>22</v>
      </c>
      <c r="Y246" s="1205">
        <f t="shared" si="32"/>
        <v>23</v>
      </c>
      <c r="Z246" s="1205">
        <f t="shared" si="32"/>
        <v>24</v>
      </c>
      <c r="AA246" s="1205">
        <f t="shared" si="32"/>
        <v>25</v>
      </c>
      <c r="AB246" s="1205">
        <f t="shared" si="32"/>
        <v>26</v>
      </c>
      <c r="AC246" s="1205">
        <f t="shared" si="32"/>
        <v>27</v>
      </c>
      <c r="AD246" s="1205">
        <f t="shared" si="32"/>
        <v>28</v>
      </c>
      <c r="AE246" s="1205">
        <f>AE3</f>
        <v>0</v>
      </c>
      <c r="AF246" s="1205">
        <f>AF3</f>
        <v>0</v>
      </c>
      <c r="AG246" s="1205"/>
      <c r="AH246" s="1282"/>
      <c r="AI246" s="1198"/>
    </row>
    <row r="247" spans="1:35">
      <c r="A247" s="1283" t="s">
        <v>200</v>
      </c>
      <c r="B247" s="1256" t="s">
        <v>142</v>
      </c>
      <c r="C247" s="1231">
        <f>C250+C252</f>
        <v>7.5</v>
      </c>
      <c r="D247" s="1231">
        <f t="shared" ref="D247:AD247" si="33">D250+D252</f>
        <v>15</v>
      </c>
      <c r="E247" s="1231">
        <f t="shared" si="33"/>
        <v>22.5</v>
      </c>
      <c r="F247" s="1231">
        <f t="shared" si="33"/>
        <v>30</v>
      </c>
      <c r="G247" s="1231">
        <f t="shared" si="33"/>
        <v>37.5</v>
      </c>
      <c r="H247" s="1231">
        <f t="shared" si="33"/>
        <v>45</v>
      </c>
      <c r="I247" s="1231">
        <f t="shared" si="33"/>
        <v>52.5</v>
      </c>
      <c r="J247" s="1231">
        <f t="shared" si="33"/>
        <v>60</v>
      </c>
      <c r="K247" s="1231">
        <f t="shared" si="33"/>
        <v>67.5</v>
      </c>
      <c r="L247" s="1231">
        <f t="shared" si="33"/>
        <v>75</v>
      </c>
      <c r="M247" s="1231">
        <f t="shared" si="33"/>
        <v>82.5</v>
      </c>
      <c r="N247" s="1231">
        <f t="shared" si="33"/>
        <v>90</v>
      </c>
      <c r="O247" s="1231">
        <f t="shared" si="33"/>
        <v>97.5</v>
      </c>
      <c r="P247" s="1231">
        <f t="shared" si="33"/>
        <v>105</v>
      </c>
      <c r="Q247" s="1231">
        <f t="shared" si="33"/>
        <v>112.5</v>
      </c>
      <c r="R247" s="1231">
        <f t="shared" si="33"/>
        <v>120</v>
      </c>
      <c r="S247" s="1231">
        <f t="shared" si="33"/>
        <v>127.5</v>
      </c>
      <c r="T247" s="1231">
        <f t="shared" si="33"/>
        <v>135</v>
      </c>
      <c r="U247" s="1231">
        <f t="shared" si="33"/>
        <v>142.5</v>
      </c>
      <c r="V247" s="1231">
        <f t="shared" si="33"/>
        <v>150</v>
      </c>
      <c r="W247" s="1231">
        <f t="shared" si="33"/>
        <v>157.5</v>
      </c>
      <c r="X247" s="1231">
        <f t="shared" si="33"/>
        <v>165</v>
      </c>
      <c r="Y247" s="1231">
        <f t="shared" si="33"/>
        <v>172.5</v>
      </c>
      <c r="Z247" s="1231">
        <f t="shared" si="33"/>
        <v>180</v>
      </c>
      <c r="AA247" s="1231">
        <f t="shared" si="33"/>
        <v>187.5</v>
      </c>
      <c r="AB247" s="1231">
        <f t="shared" si="33"/>
        <v>195</v>
      </c>
      <c r="AC247" s="1231">
        <f t="shared" si="33"/>
        <v>202.5</v>
      </c>
      <c r="AD247" s="1231">
        <f t="shared" si="33"/>
        <v>210</v>
      </c>
      <c r="AE247" s="1231">
        <f>AE250+AE252</f>
        <v>210</v>
      </c>
      <c r="AF247" s="1231">
        <f>AF250+AF252</f>
        <v>210</v>
      </c>
      <c r="AG247" s="1231"/>
      <c r="AH247" s="1231"/>
      <c r="AI247" s="1198"/>
    </row>
    <row r="248" spans="1:35" hidden="1">
      <c r="A248" s="1283" t="s">
        <v>201</v>
      </c>
      <c r="B248" s="1256" t="s">
        <v>142</v>
      </c>
      <c r="C248" s="1231"/>
      <c r="D248" s="1231"/>
      <c r="E248" s="1231"/>
      <c r="F248" s="1231"/>
      <c r="G248" s="1231"/>
      <c r="H248" s="1231"/>
      <c r="I248" s="1231"/>
      <c r="J248" s="1231"/>
      <c r="K248" s="1231"/>
      <c r="L248" s="1231"/>
      <c r="M248" s="1231"/>
      <c r="N248" s="1231"/>
      <c r="O248" s="1231"/>
      <c r="P248" s="1231"/>
      <c r="Q248" s="1231"/>
      <c r="R248" s="1231"/>
      <c r="S248" s="1231"/>
      <c r="T248" s="1231"/>
      <c r="U248" s="1231"/>
      <c r="V248" s="1231"/>
      <c r="W248" s="1231"/>
      <c r="X248" s="1231"/>
      <c r="Y248" s="1231"/>
      <c r="Z248" s="1231"/>
      <c r="AA248" s="1231"/>
      <c r="AB248" s="1231"/>
      <c r="AC248" s="1231"/>
      <c r="AD248" s="1231"/>
      <c r="AE248" s="1231"/>
      <c r="AF248" s="1231"/>
      <c r="AG248" s="1231"/>
      <c r="AH248" s="1231"/>
      <c r="AI248" s="1198"/>
    </row>
    <row r="249" spans="1:35">
      <c r="A249" s="1281"/>
      <c r="B249" s="1281"/>
      <c r="AI249" s="1198"/>
    </row>
    <row r="250" spans="1:35" ht="15.6" customHeight="1">
      <c r="A250" s="2141" t="s">
        <v>202</v>
      </c>
      <c r="B250" s="1299" t="s">
        <v>140</v>
      </c>
      <c r="C250" s="1284">
        <f>C62</f>
        <v>2.5</v>
      </c>
      <c r="D250" s="1284">
        <f>D62+C250</f>
        <v>5</v>
      </c>
      <c r="E250" s="1284">
        <f t="shared" ref="E250:AD250" si="34">E62+D250</f>
        <v>7.5</v>
      </c>
      <c r="F250" s="1284">
        <f t="shared" si="34"/>
        <v>10</v>
      </c>
      <c r="G250" s="1284">
        <f t="shared" si="34"/>
        <v>12.5</v>
      </c>
      <c r="H250" s="1284">
        <f t="shared" si="34"/>
        <v>15</v>
      </c>
      <c r="I250" s="1284">
        <f t="shared" si="34"/>
        <v>17.5</v>
      </c>
      <c r="J250" s="1284">
        <f t="shared" si="34"/>
        <v>20</v>
      </c>
      <c r="K250" s="1284">
        <f t="shared" si="34"/>
        <v>22.5</v>
      </c>
      <c r="L250" s="1284">
        <f t="shared" si="34"/>
        <v>25</v>
      </c>
      <c r="M250" s="1284">
        <f t="shared" si="34"/>
        <v>27.5</v>
      </c>
      <c r="N250" s="1284">
        <f t="shared" si="34"/>
        <v>30</v>
      </c>
      <c r="O250" s="1284">
        <f t="shared" si="34"/>
        <v>32.5</v>
      </c>
      <c r="P250" s="1284">
        <f t="shared" si="34"/>
        <v>35</v>
      </c>
      <c r="Q250" s="1284">
        <f t="shared" si="34"/>
        <v>37.5</v>
      </c>
      <c r="R250" s="1284">
        <f t="shared" si="34"/>
        <v>40</v>
      </c>
      <c r="S250" s="1284">
        <f t="shared" si="34"/>
        <v>42.5</v>
      </c>
      <c r="T250" s="1284">
        <f t="shared" si="34"/>
        <v>45</v>
      </c>
      <c r="U250" s="1284">
        <f t="shared" si="34"/>
        <v>47.5</v>
      </c>
      <c r="V250" s="1284">
        <f t="shared" si="34"/>
        <v>50</v>
      </c>
      <c r="W250" s="1284">
        <f t="shared" si="34"/>
        <v>52.5</v>
      </c>
      <c r="X250" s="1284">
        <f t="shared" si="34"/>
        <v>55</v>
      </c>
      <c r="Y250" s="1284">
        <f t="shared" si="34"/>
        <v>57.5</v>
      </c>
      <c r="Z250" s="1284">
        <f t="shared" si="34"/>
        <v>60</v>
      </c>
      <c r="AA250" s="1284">
        <f t="shared" si="34"/>
        <v>62.5</v>
      </c>
      <c r="AB250" s="1284">
        <f t="shared" si="34"/>
        <v>65</v>
      </c>
      <c r="AC250" s="1284">
        <f t="shared" si="34"/>
        <v>67.5</v>
      </c>
      <c r="AD250" s="1284">
        <f t="shared" si="34"/>
        <v>70</v>
      </c>
      <c r="AE250" s="1284">
        <f>AE62+AD250</f>
        <v>70</v>
      </c>
      <c r="AF250" s="1284">
        <f>AF62+AE250</f>
        <v>70</v>
      </c>
      <c r="AG250" s="1284"/>
      <c r="AH250" s="1282"/>
      <c r="AI250" s="1198"/>
    </row>
    <row r="251" spans="1:35" hidden="1">
      <c r="A251" s="2141"/>
      <c r="B251" s="1299" t="s">
        <v>80</v>
      </c>
      <c r="C251" s="1300"/>
      <c r="D251" s="1300"/>
      <c r="E251" s="1300"/>
      <c r="F251" s="1300"/>
      <c r="G251" s="1300"/>
      <c r="H251" s="1300"/>
      <c r="I251" s="1300"/>
      <c r="J251" s="1300"/>
      <c r="K251" s="1300"/>
      <c r="L251" s="1300"/>
      <c r="M251" s="1300"/>
      <c r="N251" s="1300"/>
      <c r="O251" s="1300"/>
      <c r="P251" s="1300"/>
      <c r="Q251" s="1300"/>
      <c r="R251" s="1300"/>
      <c r="S251" s="1300"/>
      <c r="T251" s="1300"/>
      <c r="U251" s="1300"/>
      <c r="V251" s="1300"/>
      <c r="W251" s="1300"/>
      <c r="X251" s="1300"/>
      <c r="Y251" s="1300"/>
      <c r="Z251" s="1300"/>
      <c r="AA251" s="1300"/>
      <c r="AB251" s="1300"/>
      <c r="AC251" s="1300"/>
      <c r="AD251" s="1300"/>
      <c r="AE251" s="1300"/>
      <c r="AF251" s="1300"/>
      <c r="AG251" s="1300"/>
      <c r="AH251" s="1282"/>
      <c r="AI251" s="1198"/>
    </row>
    <row r="252" spans="1:35" ht="15.6" customHeight="1">
      <c r="A252" s="2141" t="s">
        <v>203</v>
      </c>
      <c r="B252" s="1299" t="s">
        <v>140</v>
      </c>
      <c r="C252" s="1284">
        <f>C63</f>
        <v>5</v>
      </c>
      <c r="D252" s="1284">
        <f t="shared" ref="D252:AD252" si="35">C252+D63</f>
        <v>10</v>
      </c>
      <c r="E252" s="1284">
        <f t="shared" si="35"/>
        <v>15</v>
      </c>
      <c r="F252" s="1284">
        <f t="shared" si="35"/>
        <v>20</v>
      </c>
      <c r="G252" s="1284">
        <f t="shared" si="35"/>
        <v>25</v>
      </c>
      <c r="H252" s="1284">
        <f t="shared" si="35"/>
        <v>30</v>
      </c>
      <c r="I252" s="1284">
        <f t="shared" si="35"/>
        <v>35</v>
      </c>
      <c r="J252" s="1284">
        <f t="shared" si="35"/>
        <v>40</v>
      </c>
      <c r="K252" s="1284">
        <f t="shared" si="35"/>
        <v>45</v>
      </c>
      <c r="L252" s="1284">
        <f t="shared" si="35"/>
        <v>50</v>
      </c>
      <c r="M252" s="1284">
        <f t="shared" si="35"/>
        <v>55</v>
      </c>
      <c r="N252" s="1284">
        <f t="shared" si="35"/>
        <v>60</v>
      </c>
      <c r="O252" s="1284">
        <f t="shared" si="35"/>
        <v>65</v>
      </c>
      <c r="P252" s="1284">
        <f t="shared" si="35"/>
        <v>70</v>
      </c>
      <c r="Q252" s="1284">
        <f t="shared" si="35"/>
        <v>75</v>
      </c>
      <c r="R252" s="1284">
        <f t="shared" si="35"/>
        <v>80</v>
      </c>
      <c r="S252" s="1284">
        <f t="shared" si="35"/>
        <v>85</v>
      </c>
      <c r="T252" s="1284">
        <f t="shared" si="35"/>
        <v>90</v>
      </c>
      <c r="U252" s="1284">
        <f t="shared" si="35"/>
        <v>95</v>
      </c>
      <c r="V252" s="1284">
        <f t="shared" si="35"/>
        <v>100</v>
      </c>
      <c r="W252" s="1284">
        <f t="shared" si="35"/>
        <v>105</v>
      </c>
      <c r="X252" s="1284">
        <f t="shared" si="35"/>
        <v>110</v>
      </c>
      <c r="Y252" s="1284">
        <f t="shared" si="35"/>
        <v>115</v>
      </c>
      <c r="Z252" s="1284">
        <f t="shared" si="35"/>
        <v>120</v>
      </c>
      <c r="AA252" s="1284">
        <f t="shared" si="35"/>
        <v>125</v>
      </c>
      <c r="AB252" s="1284">
        <f t="shared" si="35"/>
        <v>130</v>
      </c>
      <c r="AC252" s="1284">
        <f t="shared" si="35"/>
        <v>135</v>
      </c>
      <c r="AD252" s="1284">
        <f t="shared" si="35"/>
        <v>140</v>
      </c>
      <c r="AE252" s="1284">
        <f>AD252+AE63</f>
        <v>140</v>
      </c>
      <c r="AF252" s="1284">
        <f>AE252+AF63</f>
        <v>140</v>
      </c>
      <c r="AG252" s="1284"/>
      <c r="AH252" s="1282"/>
      <c r="AI252" s="1198"/>
    </row>
    <row r="253" spans="1:35" hidden="1">
      <c r="A253" s="2141"/>
      <c r="B253" s="1299" t="s">
        <v>80</v>
      </c>
      <c r="C253" s="1300"/>
      <c r="D253" s="1300"/>
      <c r="E253" s="1300"/>
      <c r="F253" s="1300"/>
      <c r="G253" s="1300"/>
      <c r="H253" s="1300"/>
      <c r="I253" s="1300"/>
      <c r="J253" s="1300"/>
      <c r="K253" s="1300"/>
      <c r="L253" s="1300"/>
      <c r="M253" s="1300"/>
      <c r="N253" s="1300"/>
      <c r="O253" s="1300"/>
      <c r="P253" s="1300"/>
      <c r="Q253" s="1300"/>
      <c r="R253" s="1300"/>
      <c r="S253" s="1300"/>
      <c r="T253" s="1300"/>
      <c r="U253" s="1300"/>
      <c r="V253" s="1300"/>
      <c r="W253" s="1300"/>
      <c r="X253" s="1300"/>
      <c r="Y253" s="1300"/>
      <c r="Z253" s="1300"/>
      <c r="AA253" s="1300"/>
      <c r="AB253" s="1300"/>
      <c r="AC253" s="1300"/>
      <c r="AD253" s="1300"/>
      <c r="AE253" s="1300"/>
      <c r="AF253" s="1300"/>
      <c r="AG253" s="1300"/>
      <c r="AH253" s="1282"/>
      <c r="AI253" s="1198"/>
    </row>
    <row r="254" spans="1:35">
      <c r="A254" s="1198"/>
      <c r="B254" s="1198"/>
      <c r="AI254" s="1198"/>
    </row>
    <row r="255" spans="1:35">
      <c r="A255" s="1198"/>
      <c r="B255" s="1198"/>
      <c r="AI255" s="1198"/>
    </row>
    <row r="256" spans="1:35">
      <c r="A256" s="1198"/>
      <c r="B256" s="1198"/>
      <c r="AI256" s="1198"/>
    </row>
    <row r="257" spans="1:35">
      <c r="A257" s="1198"/>
      <c r="B257" s="1198"/>
      <c r="AI257" s="1198"/>
    </row>
    <row r="258" spans="1:35">
      <c r="A258" s="1198"/>
      <c r="B258" s="1198"/>
      <c r="AI258" s="1198"/>
    </row>
    <row r="259" spans="1:35">
      <c r="A259" s="1198"/>
      <c r="B259" s="1198"/>
      <c r="AI259" s="1198"/>
    </row>
    <row r="260" spans="1:35">
      <c r="A260" s="1198"/>
      <c r="B260" s="1198"/>
      <c r="AI260" s="1198"/>
    </row>
    <row r="261" spans="1:35">
      <c r="A261" s="1198"/>
      <c r="B261" s="1198"/>
      <c r="AI261" s="1198"/>
    </row>
    <row r="262" spans="1:35">
      <c r="A262" s="1198"/>
      <c r="B262" s="1198"/>
      <c r="AI262" s="1198"/>
    </row>
    <row r="263" spans="1:35">
      <c r="A263" s="1198"/>
      <c r="B263" s="1198"/>
      <c r="AI263" s="1198"/>
    </row>
    <row r="264" spans="1:35">
      <c r="A264" s="1198"/>
      <c r="B264" s="1198"/>
      <c r="AI264" s="1198"/>
    </row>
    <row r="265" spans="1:35">
      <c r="A265" s="1198"/>
      <c r="B265" s="1198"/>
      <c r="AI265" s="1198"/>
    </row>
    <row r="266" spans="1:35">
      <c r="A266" s="1198"/>
      <c r="B266" s="1198"/>
      <c r="AI266" s="1198"/>
    </row>
    <row r="267" spans="1:35">
      <c r="A267" s="1198"/>
      <c r="B267" s="1198"/>
      <c r="AI267" s="1198"/>
    </row>
    <row r="268" spans="1:35">
      <c r="A268" s="1198"/>
      <c r="B268" s="1198"/>
      <c r="AI268" s="1198"/>
    </row>
    <row r="269" spans="1:35">
      <c r="A269" s="1198"/>
      <c r="B269" s="1198"/>
      <c r="AI269" s="1198"/>
    </row>
    <row r="270" spans="1:35" hidden="1">
      <c r="A270" s="1198"/>
      <c r="B270" s="1198"/>
      <c r="AI270" s="1198"/>
    </row>
    <row r="271" spans="1:35" hidden="1">
      <c r="A271" s="1198"/>
      <c r="B271" s="1198"/>
      <c r="AI271" s="1198"/>
    </row>
    <row r="272" spans="1:35" hidden="1">
      <c r="A272" s="1198"/>
      <c r="B272" s="1198"/>
      <c r="AI272" s="1198"/>
    </row>
    <row r="273" spans="1:35" hidden="1">
      <c r="A273" s="1198"/>
      <c r="B273" s="1198"/>
      <c r="AI273" s="1198"/>
    </row>
    <row r="274" spans="1:35" hidden="1">
      <c r="A274" s="1198"/>
      <c r="B274" s="1198"/>
      <c r="AI274" s="1198"/>
    </row>
    <row r="275" spans="1:35" hidden="1">
      <c r="A275" s="1198"/>
      <c r="B275" s="1198"/>
      <c r="AI275" s="1198"/>
    </row>
    <row r="276" spans="1:35" hidden="1">
      <c r="A276" s="1198"/>
      <c r="B276" s="1198"/>
      <c r="AI276" s="1198"/>
    </row>
    <row r="277" spans="1:35" ht="30.75" customHeight="1">
      <c r="A277" s="2139" t="s">
        <v>204</v>
      </c>
      <c r="B277" s="2139"/>
      <c r="C277" s="2139"/>
      <c r="D277" s="2139"/>
      <c r="E277" s="2139"/>
      <c r="F277" s="2139"/>
      <c r="G277" s="2139"/>
      <c r="H277" s="2139"/>
      <c r="I277" s="2139"/>
      <c r="J277" s="2139"/>
      <c r="K277" s="2139"/>
      <c r="L277" s="2139"/>
      <c r="M277" s="2139"/>
      <c r="N277" s="2139"/>
      <c r="O277" s="2139"/>
      <c r="P277" s="2139"/>
      <c r="Q277" s="2139"/>
      <c r="R277" s="2139"/>
      <c r="S277" s="2139"/>
      <c r="T277" s="2139"/>
      <c r="U277" s="2139"/>
      <c r="V277" s="2139"/>
      <c r="W277" s="2139"/>
      <c r="X277" s="2139"/>
      <c r="Y277" s="2139"/>
      <c r="Z277" s="2139"/>
      <c r="AA277" s="2139"/>
      <c r="AB277" s="2139"/>
      <c r="AC277" s="2139"/>
      <c r="AD277" s="2139"/>
      <c r="AE277" s="2139"/>
      <c r="AF277" s="2139"/>
      <c r="AG277" s="2139"/>
      <c r="AH277" s="2139"/>
      <c r="AI277" s="1198"/>
    </row>
    <row r="278" spans="1:35">
      <c r="A278" s="1198"/>
      <c r="B278" s="1198"/>
      <c r="AI278" s="1198"/>
    </row>
    <row r="279" spans="1:35">
      <c r="A279" s="1283" t="s">
        <v>205</v>
      </c>
      <c r="B279" s="1256" t="s">
        <v>142</v>
      </c>
      <c r="C279" s="1231">
        <f t="shared" ref="C279:AF279" si="36">$T$81+C64</f>
        <v>10</v>
      </c>
      <c r="D279" s="1231">
        <f t="shared" si="36"/>
        <v>15.357142857142858</v>
      </c>
      <c r="E279" s="1231">
        <f t="shared" si="36"/>
        <v>15.357142857142858</v>
      </c>
      <c r="F279" s="1231">
        <f t="shared" si="36"/>
        <v>15.357142857142858</v>
      </c>
      <c r="G279" s="1231">
        <f t="shared" si="36"/>
        <v>15.357142857142858</v>
      </c>
      <c r="H279" s="1231">
        <f t="shared" si="36"/>
        <v>15.357142857142858</v>
      </c>
      <c r="I279" s="1231">
        <f t="shared" si="36"/>
        <v>15.357142857142858</v>
      </c>
      <c r="J279" s="1231">
        <f t="shared" si="36"/>
        <v>15.357142857142858</v>
      </c>
      <c r="K279" s="1231">
        <f t="shared" si="36"/>
        <v>15.357142857142858</v>
      </c>
      <c r="L279" s="1231">
        <f t="shared" si="36"/>
        <v>15.357142857142858</v>
      </c>
      <c r="M279" s="1231">
        <f t="shared" si="36"/>
        <v>15.357142857142858</v>
      </c>
      <c r="N279" s="1231">
        <f t="shared" si="36"/>
        <v>15.357142857142858</v>
      </c>
      <c r="O279" s="1231">
        <f t="shared" si="36"/>
        <v>15.357142857142858</v>
      </c>
      <c r="P279" s="1231">
        <f t="shared" si="36"/>
        <v>15.357142857142858</v>
      </c>
      <c r="Q279" s="1231">
        <f t="shared" si="36"/>
        <v>15.357142857142858</v>
      </c>
      <c r="R279" s="1231">
        <f t="shared" si="36"/>
        <v>15.357142857142858</v>
      </c>
      <c r="S279" s="1231">
        <f t="shared" si="36"/>
        <v>15.357142857142858</v>
      </c>
      <c r="T279" s="1231">
        <f t="shared" si="36"/>
        <v>15.357142857142858</v>
      </c>
      <c r="U279" s="1231">
        <f t="shared" si="36"/>
        <v>15.357142857142858</v>
      </c>
      <c r="V279" s="1231">
        <f t="shared" si="36"/>
        <v>15.357142857142858</v>
      </c>
      <c r="W279" s="1231">
        <f t="shared" si="36"/>
        <v>15.357142857142858</v>
      </c>
      <c r="X279" s="1231">
        <f t="shared" si="36"/>
        <v>15.357142857142858</v>
      </c>
      <c r="Y279" s="1231">
        <f t="shared" si="36"/>
        <v>15.357142857142858</v>
      </c>
      <c r="Z279" s="1231">
        <f t="shared" si="36"/>
        <v>15.357142857142858</v>
      </c>
      <c r="AA279" s="1231">
        <f t="shared" si="36"/>
        <v>15.357142857142858</v>
      </c>
      <c r="AB279" s="1231">
        <f t="shared" si="36"/>
        <v>15.357142857142858</v>
      </c>
      <c r="AC279" s="1231">
        <f t="shared" si="36"/>
        <v>15.357142857142858</v>
      </c>
      <c r="AD279" s="1231">
        <f t="shared" si="36"/>
        <v>10</v>
      </c>
      <c r="AE279" s="1231">
        <f t="shared" si="36"/>
        <v>10</v>
      </c>
      <c r="AF279" s="1231">
        <f t="shared" si="36"/>
        <v>10</v>
      </c>
      <c r="AG279" s="1231"/>
      <c r="AH279" s="1231"/>
      <c r="AI279" s="1198"/>
    </row>
    <row r="280" spans="1:35" hidden="1">
      <c r="A280" s="1283" t="s">
        <v>206</v>
      </c>
      <c r="B280" s="1256" t="s">
        <v>142</v>
      </c>
      <c r="C280" s="1231"/>
      <c r="D280" s="1231"/>
      <c r="E280" s="1231"/>
      <c r="F280" s="1231"/>
      <c r="G280" s="1231"/>
      <c r="H280" s="1231"/>
      <c r="I280" s="1231"/>
      <c r="J280" s="1231"/>
      <c r="K280" s="1231"/>
      <c r="L280" s="1231"/>
      <c r="M280" s="1231"/>
      <c r="N280" s="1231"/>
      <c r="O280" s="1231"/>
      <c r="P280" s="1231"/>
      <c r="Q280" s="1231"/>
      <c r="R280" s="1231"/>
      <c r="S280" s="1231"/>
      <c r="T280" s="1231"/>
      <c r="U280" s="1231"/>
      <c r="V280" s="1231"/>
      <c r="W280" s="1231"/>
      <c r="X280" s="1231"/>
      <c r="Y280" s="1231"/>
      <c r="Z280" s="1231"/>
      <c r="AA280" s="1231"/>
      <c r="AB280" s="1231"/>
      <c r="AC280" s="1231"/>
      <c r="AD280" s="1231"/>
      <c r="AE280" s="1231"/>
      <c r="AF280" s="1231"/>
      <c r="AG280" s="1231"/>
      <c r="AH280" s="1231"/>
      <c r="AI280" s="1198"/>
    </row>
    <row r="281" spans="1:35">
      <c r="A281" s="1198"/>
      <c r="B281" s="1198"/>
      <c r="AI281" s="1198"/>
    </row>
    <row r="282" spans="1:35">
      <c r="A282" s="1198"/>
      <c r="B282" s="1198"/>
      <c r="AI282" s="1198"/>
    </row>
    <row r="283" spans="1:35">
      <c r="A283" s="1198"/>
      <c r="B283" s="1198"/>
      <c r="AI283" s="1198"/>
    </row>
    <row r="284" spans="1:35">
      <c r="A284" s="1198"/>
      <c r="B284" s="1198"/>
      <c r="AI284" s="1198"/>
    </row>
    <row r="285" spans="1:35">
      <c r="A285" s="1198"/>
      <c r="B285" s="1198"/>
      <c r="AI285" s="1198"/>
    </row>
    <row r="286" spans="1:35">
      <c r="A286" s="1198"/>
      <c r="B286" s="1198"/>
      <c r="AI286" s="1198"/>
    </row>
    <row r="287" spans="1:35">
      <c r="A287" s="1198"/>
      <c r="B287" s="1198"/>
      <c r="AI287" s="1198"/>
    </row>
    <row r="288" spans="1:35">
      <c r="A288" s="1198"/>
      <c r="B288" s="1198"/>
      <c r="AI288" s="1198"/>
    </row>
    <row r="289" spans="1:35">
      <c r="A289" s="1198"/>
      <c r="B289" s="1198"/>
      <c r="AI289" s="1198"/>
    </row>
    <row r="290" spans="1:35">
      <c r="A290" s="1198"/>
      <c r="B290" s="1198"/>
      <c r="AI290" s="1198"/>
    </row>
    <row r="291" spans="1:35">
      <c r="A291" s="1198"/>
      <c r="B291" s="1198"/>
      <c r="AI291" s="1198"/>
    </row>
    <row r="292" spans="1:35">
      <c r="A292" s="1198"/>
      <c r="B292" s="1198"/>
      <c r="AI292" s="1198"/>
    </row>
    <row r="293" spans="1:35">
      <c r="A293" s="1198"/>
      <c r="B293" s="1198"/>
      <c r="AI293" s="1198"/>
    </row>
    <row r="294" spans="1:35">
      <c r="A294" s="1198"/>
      <c r="B294" s="1198"/>
      <c r="AI294" s="1198"/>
    </row>
    <row r="295" spans="1:35">
      <c r="A295" s="1198"/>
      <c r="B295" s="1198"/>
      <c r="AI295" s="1198"/>
    </row>
    <row r="296" spans="1:35">
      <c r="A296" s="1198"/>
      <c r="B296" s="1198"/>
      <c r="AI296" s="1198"/>
    </row>
    <row r="304" spans="1:35">
      <c r="D304" s="1270"/>
      <c r="E304" s="1301"/>
      <c r="F304" s="1301"/>
    </row>
    <row r="305" spans="4:6">
      <c r="D305" s="1301"/>
      <c r="E305" s="1301"/>
      <c r="F305" s="1301"/>
    </row>
    <row r="306" spans="4:6">
      <c r="D306" s="1301"/>
      <c r="E306" s="1301"/>
      <c r="F306" s="1301"/>
    </row>
  </sheetData>
  <mergeCells count="39">
    <mergeCell ref="A14:A15"/>
    <mergeCell ref="A20:A21"/>
    <mergeCell ref="A32:A33"/>
    <mergeCell ref="A16:A17"/>
    <mergeCell ref="A10:A11"/>
    <mergeCell ref="A1:AH1"/>
    <mergeCell ref="A4:B4"/>
    <mergeCell ref="A5:B5"/>
    <mergeCell ref="A6:A7"/>
    <mergeCell ref="A8:A9"/>
    <mergeCell ref="A277:AH277"/>
    <mergeCell ref="A244:AH244"/>
    <mergeCell ref="A246:B246"/>
    <mergeCell ref="A250:A251"/>
    <mergeCell ref="A252:A253"/>
    <mergeCell ref="A137:B137"/>
    <mergeCell ref="A58:A59"/>
    <mergeCell ref="A48:A49"/>
    <mergeCell ref="A50:A51"/>
    <mergeCell ref="A52:A53"/>
    <mergeCell ref="A54:A55"/>
    <mergeCell ref="A135:AH135"/>
    <mergeCell ref="O81:S81"/>
    <mergeCell ref="A81:C81"/>
    <mergeCell ref="A56:A57"/>
    <mergeCell ref="A36:A37"/>
    <mergeCell ref="A61:B61"/>
    <mergeCell ref="A44:A45"/>
    <mergeCell ref="A46:A47"/>
    <mergeCell ref="A18:A19"/>
    <mergeCell ref="A24:A25"/>
    <mergeCell ref="A34:A35"/>
    <mergeCell ref="A22:A23"/>
    <mergeCell ref="A26:A27"/>
    <mergeCell ref="A38:A39"/>
    <mergeCell ref="A41:B41"/>
    <mergeCell ref="A42:A43"/>
    <mergeCell ref="A28:A29"/>
    <mergeCell ref="A30:A31"/>
  </mergeCells>
  <phoneticPr fontId="86" type="noConversion"/>
  <conditionalFormatting sqref="C42:AG55 C6:AG35">
    <cfRule type="cellIs" dxfId="2" priority="1" stopIfTrue="1" operator="equal">
      <formula>0</formula>
    </cfRule>
  </conditionalFormatting>
  <printOptions horizontalCentered="1"/>
  <pageMargins left="0.19685039370078741" right="0.19685039370078741" top="0.23622047244094491" bottom="0.19685039370078741" header="0.51181102362204722" footer="0.51181102362204722"/>
  <pageSetup paperSize="8" scale="36" firstPageNumber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O441"/>
  <sheetViews>
    <sheetView zoomScale="55" zoomScaleNormal="55" zoomScalePageLayoutView="40" workbookViewId="0">
      <pane xSplit="4" ySplit="6" topLeftCell="U163" activePane="bottomRight" state="frozen"/>
      <selection pane="topRight" activeCell="E1" sqref="E1"/>
      <selection pane="bottomLeft" activeCell="A7" sqref="A7"/>
      <selection pane="bottomRight" activeCell="AD300" sqref="AD300"/>
    </sheetView>
  </sheetViews>
  <sheetFormatPr defaultRowHeight="12.75" outlineLevelRow="2" outlineLevelCol="2"/>
  <cols>
    <col min="1" max="1" width="14" style="1" customWidth="1"/>
    <col min="2" max="2" width="8.42578125" style="1" customWidth="1"/>
    <col min="3" max="3" width="6.7109375" style="1" customWidth="1" outlineLevel="1"/>
    <col min="4" max="4" width="27.42578125" style="1" customWidth="1"/>
    <col min="5" max="5" width="12.5703125" style="1" customWidth="1"/>
    <col min="6" max="6" width="0.140625" style="2" customWidth="1"/>
    <col min="7" max="7" width="10.5703125" style="1" customWidth="1" outlineLevel="1"/>
    <col min="8" max="8" width="10.7109375" style="1" customWidth="1" outlineLevel="2"/>
    <col min="9" max="9" width="8" style="1" customWidth="1" outlineLevel="2" collapsed="1"/>
    <col min="10" max="10" width="11.5703125" style="1" customWidth="1" outlineLevel="1"/>
    <col min="11" max="11" width="19.140625" style="1" customWidth="1" outlineLevel="1"/>
    <col min="12" max="12" width="9.28515625" style="1" customWidth="1" outlineLevel="2"/>
    <col min="13" max="13" width="8.85546875" style="1" bestFit="1" customWidth="1" outlineLevel="1"/>
    <col min="14" max="16" width="8.85546875" style="1" customWidth="1" outlineLevel="1"/>
    <col min="17" max="17" width="10.42578125" style="1" customWidth="1" outlineLevel="1"/>
    <col min="18" max="18" width="0.140625" style="1" customWidth="1"/>
    <col min="19" max="19" width="19.42578125" style="1" customWidth="1" outlineLevel="2"/>
    <col min="20" max="20" width="7.7109375" style="1" customWidth="1" outlineLevel="2"/>
    <col min="21" max="21" width="6.85546875" style="1" customWidth="1" outlineLevel="2"/>
    <col min="22" max="22" width="7.5703125" style="1" customWidth="1" outlineLevel="2"/>
    <col min="23" max="23" width="7" style="1" customWidth="1" outlineLevel="2"/>
    <col min="24" max="24" width="7.42578125" style="1" customWidth="1" outlineLevel="2"/>
    <col min="25" max="26" width="6.85546875" style="1" customWidth="1"/>
    <col min="27" max="27" width="8.140625" style="1" customWidth="1"/>
    <col min="28" max="28" width="8" style="1" customWidth="1"/>
    <col min="29" max="29" width="0.140625" style="1" customWidth="1"/>
    <col min="30" max="30" width="25.140625" style="2" customWidth="1" outlineLevel="1"/>
    <col min="31" max="31" width="11.85546875" style="3" customWidth="1"/>
    <col min="32" max="32" width="10.85546875" style="3" customWidth="1" outlineLevel="1"/>
    <col min="33" max="33" width="10.85546875" style="3" customWidth="1"/>
    <col min="34" max="34" width="8.28515625" style="4" customWidth="1" outlineLevel="1"/>
    <col min="35" max="35" width="11" style="4" customWidth="1" outlineLevel="1"/>
    <col min="36" max="36" width="12.28515625" style="5" customWidth="1"/>
    <col min="37" max="37" width="10.7109375" style="3" customWidth="1" outlineLevel="1"/>
    <col min="38" max="38" width="10.7109375" style="3" customWidth="1"/>
    <col min="39" max="39" width="10.85546875" style="4" customWidth="1" outlineLevel="1"/>
    <col min="40" max="40" width="8.85546875" style="4" customWidth="1" outlineLevel="1"/>
    <col min="41" max="41" width="6.85546875" style="1" customWidth="1" outlineLevel="1"/>
    <col min="42" max="42" width="8.42578125" style="1" customWidth="1"/>
    <col min="43" max="43" width="7.42578125" style="1" customWidth="1"/>
    <col min="44" max="44" width="8" style="1" customWidth="1"/>
    <col min="45" max="45" width="9.140625" style="1" customWidth="1" outlineLevel="1"/>
    <col min="46" max="46" width="10.42578125" style="1" customWidth="1" outlineLevel="1"/>
    <col min="47" max="47" width="6.28515625" style="1" customWidth="1" outlineLevel="1"/>
    <col min="48" max="48" width="6.85546875" style="1" customWidth="1" outlineLevel="1"/>
    <col min="49" max="49" width="6.5703125" style="1" customWidth="1" outlineLevel="1"/>
    <col min="50" max="50" width="7.140625" style="1" customWidth="1" outlineLevel="1"/>
    <col min="51" max="51" width="20.42578125" style="1" customWidth="1" outlineLevel="1"/>
    <col min="52" max="52" width="10.140625" style="1" customWidth="1"/>
    <col min="53" max="53" width="12.28515625" style="1" customWidth="1"/>
    <col min="54" max="54" width="11.140625" style="1" customWidth="1"/>
    <col min="55" max="55" width="9.85546875" style="1" customWidth="1"/>
    <col min="56" max="56" width="13.28515625" style="1" customWidth="1"/>
    <col min="57" max="57" width="30" style="6" hidden="1" customWidth="1" outlineLevel="1"/>
    <col min="58" max="58" width="18" style="6" hidden="1" customWidth="1" outlineLevel="1"/>
    <col min="59" max="59" width="22.28515625" style="6" hidden="1" customWidth="1" outlineLevel="1"/>
    <col min="60" max="60" width="6.85546875" style="6" hidden="1" customWidth="1" outlineLevel="1"/>
    <col min="61" max="61" width="6.7109375" style="6" hidden="1" customWidth="1" outlineLevel="1"/>
    <col min="62" max="62" width="6.28515625" style="6" hidden="1" customWidth="1" outlineLevel="1"/>
    <col min="63" max="63" width="9.5703125" style="6" hidden="1" customWidth="1" outlineLevel="1"/>
    <col min="64" max="64" width="1.28515625" style="6" hidden="1" customWidth="1" outlineLevel="1"/>
    <col min="65" max="65" width="6.5703125" style="6" hidden="1" customWidth="1" outlineLevel="1"/>
    <col min="66" max="67" width="7.140625" style="6" hidden="1" customWidth="1" outlineLevel="1"/>
    <col min="68" max="68" width="11.42578125" style="6" hidden="1" customWidth="1" outlineLevel="1"/>
    <col min="69" max="69" width="10.85546875" style="7" hidden="1" customWidth="1" outlineLevel="1"/>
    <col min="70" max="73" width="13.5703125" style="6" customWidth="1" outlineLevel="1"/>
    <col min="74" max="74" width="9.85546875" style="6" hidden="1" customWidth="1" outlineLevel="1"/>
    <col min="75" max="75" width="11.28515625" style="6" hidden="1" customWidth="1" outlineLevel="1"/>
    <col min="76" max="76" width="9.5703125" style="6" hidden="1" customWidth="1" outlineLevel="1"/>
    <col min="77" max="77" width="7.85546875" style="6" hidden="1" customWidth="1" outlineLevel="1"/>
    <col min="78" max="79" width="14" hidden="1" customWidth="1" outlineLevel="1"/>
    <col min="80" max="80" width="20" hidden="1" customWidth="1" outlineLevel="1"/>
    <col min="81" max="81" width="12" hidden="1" customWidth="1" outlineLevel="1"/>
    <col min="82" max="82" width="13.140625" hidden="1" customWidth="1" outlineLevel="1"/>
    <col min="83" max="85" width="16.5703125" hidden="1" customWidth="1" outlineLevel="1"/>
    <col min="86" max="86" width="20.140625" hidden="1" customWidth="1" outlineLevel="1"/>
    <col min="87" max="87" width="31.7109375" style="1" hidden="1" customWidth="1" outlineLevel="1"/>
    <col min="88" max="88" width="12" style="8" customWidth="1" collapsed="1"/>
    <col min="89" max="91" width="12" style="8" customWidth="1"/>
    <col min="92" max="168" width="9.140625" style="8"/>
    <col min="169" max="169" width="26.28515625" style="8" customWidth="1"/>
    <col min="170" max="16384" width="9.140625" style="8"/>
  </cols>
  <sheetData>
    <row r="1" spans="1:92" ht="17.25" customHeight="1">
      <c r="A1" s="9">
        <v>1</v>
      </c>
      <c r="B1" s="10" t="str">
        <f>"&lt;="&amp;B2</f>
        <v>&lt;=31</v>
      </c>
      <c r="C1" s="10" t="str">
        <f>"&lt;&gt;"&amp;""</f>
        <v>&lt;&gt;</v>
      </c>
      <c r="D1" s="11">
        <v>42005</v>
      </c>
      <c r="E1" s="11"/>
      <c r="F1" s="12"/>
      <c r="G1" s="12"/>
      <c r="H1" s="2182" t="s">
        <v>0</v>
      </c>
      <c r="I1" s="2182"/>
      <c r="J1" s="2182"/>
      <c r="K1" s="2182"/>
      <c r="L1" s="2182"/>
      <c r="M1" s="2182"/>
      <c r="N1" s="2182"/>
      <c r="O1" s="2182"/>
      <c r="P1" s="2182"/>
      <c r="Q1" s="2182"/>
      <c r="R1" s="2182"/>
      <c r="S1" s="2182"/>
      <c r="T1" s="2182"/>
      <c r="U1" s="2182"/>
      <c r="V1" s="2182"/>
      <c r="W1" s="2182"/>
      <c r="X1" s="2182"/>
      <c r="Y1" s="12"/>
      <c r="Z1" s="12"/>
      <c r="AA1" s="12"/>
      <c r="AB1" s="12"/>
      <c r="AC1" s="12"/>
      <c r="AD1" s="13"/>
      <c r="AE1" s="14"/>
      <c r="AF1" s="15"/>
      <c r="AG1" s="15"/>
      <c r="AH1" s="16"/>
      <c r="AI1" s="16"/>
      <c r="AJ1" s="17"/>
      <c r="AK1" s="15"/>
      <c r="AL1" s="15"/>
      <c r="AM1" s="16"/>
      <c r="AN1" s="16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9"/>
      <c r="BA1" s="19"/>
      <c r="BB1" s="19"/>
      <c r="BC1" s="19"/>
      <c r="BD1" s="20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CE1" s="22" t="str">
        <f>"&lt;="&amp;CE7</f>
        <v>&lt;=39568</v>
      </c>
      <c r="CI1" s="13"/>
    </row>
    <row r="2" spans="1:92" ht="17.25" customHeight="1" thickBot="1">
      <c r="A2" s="9">
        <f>CHOOSE(A1,31,28,31,30,31,30,31,31,30,31,30,31)</f>
        <v>31</v>
      </c>
      <c r="B2" s="9">
        <f>S2</f>
        <v>31</v>
      </c>
      <c r="C2" s="23"/>
      <c r="D2" s="24"/>
      <c r="E2" s="24"/>
      <c r="F2" s="24"/>
      <c r="G2" s="24"/>
      <c r="H2" s="24"/>
      <c r="I2" s="24"/>
      <c r="J2" s="24"/>
      <c r="K2" s="25"/>
      <c r="L2" s="2183">
        <f ca="1">TODAY()-1</f>
        <v>43440</v>
      </c>
      <c r="M2" s="2183"/>
      <c r="N2" s="2183"/>
      <c r="O2" s="2183"/>
      <c r="P2" s="2183"/>
      <c r="Q2" s="2183"/>
      <c r="R2" s="2183"/>
      <c r="S2" s="26">
        <v>31</v>
      </c>
      <c r="T2" s="27" t="s">
        <v>302</v>
      </c>
      <c r="U2" s="21"/>
      <c r="V2" s="28" t="s">
        <v>300</v>
      </c>
      <c r="W2" s="13"/>
      <c r="X2" s="13"/>
      <c r="Y2" s="27"/>
      <c r="Z2" s="21"/>
      <c r="AA2" s="28"/>
      <c r="AB2" s="13"/>
      <c r="AC2" s="13"/>
      <c r="AD2" s="13"/>
      <c r="AE2" s="29"/>
      <c r="AF2" s="29"/>
      <c r="AG2" s="29"/>
      <c r="AH2" s="30"/>
      <c r="AI2" s="30"/>
      <c r="AJ2" s="31"/>
      <c r="AK2" s="29"/>
      <c r="AL2" s="29"/>
      <c r="AM2" s="30"/>
      <c r="AN2" s="30"/>
      <c r="AO2" s="32"/>
      <c r="AP2" s="30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20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R2" s="21"/>
      <c r="BS2" s="21"/>
      <c r="BT2" s="21"/>
      <c r="BU2" s="21"/>
      <c r="BV2" s="21"/>
      <c r="BW2" s="21"/>
      <c r="BX2" s="21"/>
      <c r="BY2" s="21"/>
      <c r="CE2" s="21"/>
      <c r="CI2" s="13"/>
    </row>
    <row r="3" spans="1:92" s="36" customFormat="1" ht="54.75" customHeight="1" thickBot="1">
      <c r="A3" s="2164" t="s">
        <v>1</v>
      </c>
      <c r="B3" s="2145" t="s">
        <v>2</v>
      </c>
      <c r="C3" s="2145" t="s">
        <v>3</v>
      </c>
      <c r="D3" s="2145" t="s">
        <v>4</v>
      </c>
      <c r="E3" s="2145" t="s">
        <v>5</v>
      </c>
      <c r="F3" s="2145" t="s">
        <v>6</v>
      </c>
      <c r="G3" s="2145" t="s">
        <v>7</v>
      </c>
      <c r="H3" s="2145"/>
      <c r="I3" s="2145" t="s">
        <v>8</v>
      </c>
      <c r="J3" s="2145" t="s">
        <v>9</v>
      </c>
      <c r="K3" s="2162" t="s">
        <v>10</v>
      </c>
      <c r="L3" s="2162"/>
      <c r="M3" s="2162"/>
      <c r="N3" s="2162"/>
      <c r="O3" s="2162"/>
      <c r="P3" s="2162"/>
      <c r="Q3" s="2162"/>
      <c r="R3" s="1711"/>
      <c r="S3" s="2145" t="s">
        <v>11</v>
      </c>
      <c r="T3" s="2145"/>
      <c r="U3" s="2145"/>
      <c r="V3" s="2145"/>
      <c r="W3" s="2145"/>
      <c r="X3" s="2145"/>
      <c r="Y3" s="2145" t="s">
        <v>12</v>
      </c>
      <c r="Z3" s="2145"/>
      <c r="AA3" s="2145"/>
      <c r="AB3" s="2145"/>
      <c r="AC3" s="1712"/>
      <c r="AD3" s="2145" t="s">
        <v>13</v>
      </c>
      <c r="AE3" s="2184" t="s">
        <v>14</v>
      </c>
      <c r="AF3" s="2185"/>
      <c r="AG3" s="2186"/>
      <c r="AH3" s="2163" t="s">
        <v>15</v>
      </c>
      <c r="AI3" s="2163" t="s">
        <v>16</v>
      </c>
      <c r="AJ3" s="2184" t="s">
        <v>17</v>
      </c>
      <c r="AK3" s="2185"/>
      <c r="AL3" s="2186"/>
      <c r="AM3" s="2163" t="s">
        <v>15</v>
      </c>
      <c r="AN3" s="2163" t="s">
        <v>16</v>
      </c>
      <c r="AO3" s="2164" t="s">
        <v>18</v>
      </c>
      <c r="AP3" s="2145" t="s">
        <v>19</v>
      </c>
      <c r="AQ3" s="2145"/>
      <c r="AR3" s="2145"/>
      <c r="AS3" s="2145"/>
      <c r="AT3" s="2145"/>
      <c r="AU3" s="2145"/>
      <c r="AV3" s="2145"/>
      <c r="AW3" s="2145"/>
      <c r="AX3" s="2145"/>
      <c r="AY3" s="2145" t="s">
        <v>20</v>
      </c>
      <c r="AZ3" s="2145" t="s">
        <v>21</v>
      </c>
      <c r="BA3" s="2145" t="s">
        <v>22</v>
      </c>
      <c r="BB3" s="2145" t="s">
        <v>23</v>
      </c>
      <c r="BC3" s="2161" t="s">
        <v>24</v>
      </c>
      <c r="BD3" s="2145" t="s">
        <v>25</v>
      </c>
      <c r="BE3" s="2160" t="s">
        <v>26</v>
      </c>
      <c r="BF3" s="2160" t="s">
        <v>27</v>
      </c>
      <c r="BG3" s="33"/>
      <c r="BH3" s="2156" t="s">
        <v>28</v>
      </c>
      <c r="BI3" s="2156"/>
      <c r="BJ3" s="2156"/>
      <c r="BK3" s="2156"/>
      <c r="BL3" s="2156"/>
      <c r="BM3" s="2156"/>
      <c r="BN3" s="2157" t="s">
        <v>29</v>
      </c>
      <c r="BO3" s="2157"/>
      <c r="BP3" s="2156" t="s">
        <v>30</v>
      </c>
      <c r="BQ3" s="2156"/>
      <c r="BR3" s="2155" t="s">
        <v>309</v>
      </c>
      <c r="BS3" s="2179" t="s">
        <v>310</v>
      </c>
      <c r="BT3" s="2155" t="s">
        <v>309</v>
      </c>
      <c r="BU3" s="2175" t="s">
        <v>310</v>
      </c>
      <c r="BV3" s="2181"/>
      <c r="BW3" s="2168" t="s">
        <v>32</v>
      </c>
      <c r="BX3" s="2178" t="s">
        <v>31</v>
      </c>
      <c r="BY3" s="2166"/>
      <c r="BZ3" s="2170" t="s">
        <v>34</v>
      </c>
      <c r="CA3" s="2173" t="s">
        <v>35</v>
      </c>
      <c r="CB3" s="2173" t="s">
        <v>36</v>
      </c>
      <c r="CC3" s="2173" t="s">
        <v>37</v>
      </c>
      <c r="CD3" s="2174" t="s">
        <v>38</v>
      </c>
      <c r="CE3" s="2167" t="s">
        <v>39</v>
      </c>
      <c r="CF3" s="2167"/>
      <c r="CG3" s="2167"/>
      <c r="CH3" s="2167"/>
      <c r="CI3" s="2165" t="s">
        <v>40</v>
      </c>
    </row>
    <row r="4" spans="1:92" ht="48.75" customHeight="1" thickBot="1">
      <c r="A4" s="2164"/>
      <c r="B4" s="2145"/>
      <c r="C4" s="2145"/>
      <c r="D4" s="2145"/>
      <c r="E4" s="2145"/>
      <c r="F4" s="2145"/>
      <c r="G4" s="2145"/>
      <c r="H4" s="2145"/>
      <c r="I4" s="2145"/>
      <c r="J4" s="2145"/>
      <c r="K4" s="1713" t="s">
        <v>41</v>
      </c>
      <c r="L4" s="1714" t="s">
        <v>42</v>
      </c>
      <c r="M4" s="1714" t="s">
        <v>43</v>
      </c>
      <c r="N4" s="1714" t="s">
        <v>44</v>
      </c>
      <c r="O4" s="1714" t="s">
        <v>45</v>
      </c>
      <c r="P4" s="1714" t="s">
        <v>46</v>
      </c>
      <c r="Q4" s="1714" t="s">
        <v>252</v>
      </c>
      <c r="R4" s="1714"/>
      <c r="S4" s="1715" t="s">
        <v>41</v>
      </c>
      <c r="T4" s="1715" t="s">
        <v>43</v>
      </c>
      <c r="U4" s="1715" t="s">
        <v>44</v>
      </c>
      <c r="V4" s="1715" t="s">
        <v>45</v>
      </c>
      <c r="W4" s="1715" t="s">
        <v>46</v>
      </c>
      <c r="X4" s="1714" t="s">
        <v>47</v>
      </c>
      <c r="Y4" s="1715" t="s">
        <v>43</v>
      </c>
      <c r="Z4" s="1715" t="s">
        <v>44</v>
      </c>
      <c r="AA4" s="1715" t="s">
        <v>45</v>
      </c>
      <c r="AB4" s="1715" t="s">
        <v>46</v>
      </c>
      <c r="AC4" s="1715"/>
      <c r="AD4" s="2145"/>
      <c r="AE4" s="2146" t="s">
        <v>48</v>
      </c>
      <c r="AF4" s="2146" t="s">
        <v>49</v>
      </c>
      <c r="AG4" s="2146" t="s">
        <v>50</v>
      </c>
      <c r="AH4" s="2163"/>
      <c r="AI4" s="2163"/>
      <c r="AJ4" s="2146" t="s">
        <v>48</v>
      </c>
      <c r="AK4" s="2146" t="s">
        <v>49</v>
      </c>
      <c r="AL4" s="2146" t="s">
        <v>50</v>
      </c>
      <c r="AM4" s="2163"/>
      <c r="AN4" s="2163"/>
      <c r="AO4" s="2164"/>
      <c r="AP4" s="2163" t="s">
        <v>51</v>
      </c>
      <c r="AQ4" s="2145" t="s">
        <v>52</v>
      </c>
      <c r="AR4" s="2145" t="s">
        <v>53</v>
      </c>
      <c r="AS4" s="2145" t="s">
        <v>54</v>
      </c>
      <c r="AT4" s="2145" t="s">
        <v>55</v>
      </c>
      <c r="AU4" s="2145" t="s">
        <v>56</v>
      </c>
      <c r="AV4" s="2145" t="s">
        <v>57</v>
      </c>
      <c r="AW4" s="2145" t="s">
        <v>58</v>
      </c>
      <c r="AX4" s="2162" t="s">
        <v>59</v>
      </c>
      <c r="AY4" s="2145"/>
      <c r="AZ4" s="2145"/>
      <c r="BA4" s="2145"/>
      <c r="BB4" s="2145"/>
      <c r="BC4" s="2161"/>
      <c r="BD4" s="2145"/>
      <c r="BE4" s="2160"/>
      <c r="BF4" s="2160"/>
      <c r="BG4" s="37"/>
      <c r="BH4" s="2156"/>
      <c r="BI4" s="2156"/>
      <c r="BJ4" s="2156"/>
      <c r="BK4" s="2156"/>
      <c r="BL4" s="2156"/>
      <c r="BM4" s="2156"/>
      <c r="BN4" s="2157"/>
      <c r="BO4" s="2157"/>
      <c r="BP4" s="2156"/>
      <c r="BQ4" s="2156"/>
      <c r="BR4" s="2155"/>
      <c r="BS4" s="2180"/>
      <c r="BT4" s="2155"/>
      <c r="BU4" s="2176"/>
      <c r="BV4" s="2181"/>
      <c r="BW4" s="2168"/>
      <c r="BX4" s="2178"/>
      <c r="BY4" s="2166"/>
      <c r="BZ4" s="2170"/>
      <c r="CA4" s="2173"/>
      <c r="CB4" s="2173"/>
      <c r="CC4" s="2173"/>
      <c r="CD4" s="2174"/>
      <c r="CE4" s="2167"/>
      <c r="CF4" s="2167"/>
      <c r="CG4" s="2167"/>
      <c r="CH4" s="2167"/>
      <c r="CI4" s="2165"/>
    </row>
    <row r="5" spans="1:92" ht="39" customHeight="1" thickBot="1">
      <c r="A5" s="2164"/>
      <c r="B5" s="2145"/>
      <c r="C5" s="2145"/>
      <c r="D5" s="2145"/>
      <c r="E5" s="2145"/>
      <c r="F5" s="2145"/>
      <c r="G5" s="2145" t="s">
        <v>60</v>
      </c>
      <c r="H5" s="2145" t="s">
        <v>61</v>
      </c>
      <c r="I5" s="2145"/>
      <c r="J5" s="2145"/>
      <c r="K5" s="2162" t="s">
        <v>62</v>
      </c>
      <c r="L5" s="2162" t="s">
        <v>63</v>
      </c>
      <c r="M5" s="2162" t="s">
        <v>63</v>
      </c>
      <c r="N5" s="2162" t="s">
        <v>64</v>
      </c>
      <c r="O5" s="2162" t="s">
        <v>24</v>
      </c>
      <c r="P5" s="2162" t="s">
        <v>65</v>
      </c>
      <c r="Q5" s="2162" t="s">
        <v>65</v>
      </c>
      <c r="R5" s="1710"/>
      <c r="S5" s="2145" t="s">
        <v>62</v>
      </c>
      <c r="T5" s="2145" t="s">
        <v>63</v>
      </c>
      <c r="U5" s="2145" t="s">
        <v>64</v>
      </c>
      <c r="V5" s="2145" t="s">
        <v>24</v>
      </c>
      <c r="W5" s="2145" t="s">
        <v>65</v>
      </c>
      <c r="X5" s="2162" t="s">
        <v>65</v>
      </c>
      <c r="Y5" s="2145" t="s">
        <v>63</v>
      </c>
      <c r="Z5" s="2145" t="s">
        <v>64</v>
      </c>
      <c r="AA5" s="2145" t="s">
        <v>24</v>
      </c>
      <c r="AB5" s="2145" t="s">
        <v>65</v>
      </c>
      <c r="AC5" s="1709"/>
      <c r="AD5" s="2145"/>
      <c r="AE5" s="2146"/>
      <c r="AF5" s="2146"/>
      <c r="AG5" s="2146"/>
      <c r="AH5" s="2163"/>
      <c r="AI5" s="2163"/>
      <c r="AJ5" s="2146"/>
      <c r="AK5" s="2146"/>
      <c r="AL5" s="2146"/>
      <c r="AM5" s="2163"/>
      <c r="AN5" s="2163"/>
      <c r="AO5" s="2164"/>
      <c r="AP5" s="2163"/>
      <c r="AQ5" s="2145"/>
      <c r="AR5" s="2145"/>
      <c r="AS5" s="2145"/>
      <c r="AT5" s="2145"/>
      <c r="AU5" s="2145"/>
      <c r="AV5" s="2145"/>
      <c r="AW5" s="2145"/>
      <c r="AX5" s="2162" t="s">
        <v>59</v>
      </c>
      <c r="AY5" s="2145"/>
      <c r="AZ5" s="2145"/>
      <c r="BA5" s="2145"/>
      <c r="BB5" s="2145"/>
      <c r="BC5" s="2161"/>
      <c r="BD5" s="2145"/>
      <c r="BE5" s="2160"/>
      <c r="BF5" s="2160"/>
      <c r="BG5" s="37" t="s">
        <v>66</v>
      </c>
      <c r="BH5" s="34" t="s">
        <v>67</v>
      </c>
      <c r="BI5" s="34" t="s">
        <v>68</v>
      </c>
      <c r="BJ5" s="34" t="s">
        <v>24</v>
      </c>
      <c r="BK5" s="34" t="s">
        <v>69</v>
      </c>
      <c r="BL5" s="34"/>
      <c r="BM5" s="34" t="s">
        <v>70</v>
      </c>
      <c r="BN5" s="34" t="s">
        <v>71</v>
      </c>
      <c r="BO5" s="34" t="s">
        <v>68</v>
      </c>
      <c r="BP5" s="2157" t="s">
        <v>72</v>
      </c>
      <c r="BQ5" s="2158" t="s">
        <v>73</v>
      </c>
      <c r="BR5" s="2155"/>
      <c r="BS5" s="2180"/>
      <c r="BT5" s="2155"/>
      <c r="BU5" s="2177"/>
      <c r="BV5" s="2181"/>
      <c r="BW5" s="2168"/>
      <c r="BX5" s="2178"/>
      <c r="BY5" s="2166"/>
      <c r="BZ5" s="2170"/>
      <c r="CA5" s="2173"/>
      <c r="CB5" s="2173"/>
      <c r="CC5" s="2173"/>
      <c r="CD5" s="2174"/>
      <c r="CE5" s="2169" t="s">
        <v>74</v>
      </c>
      <c r="CF5" s="2169"/>
      <c r="CG5" s="2171" t="s">
        <v>75</v>
      </c>
      <c r="CH5" s="2171"/>
      <c r="CI5" s="2165"/>
    </row>
    <row r="6" spans="1:92" ht="18.75" customHeight="1" thickBot="1">
      <c r="A6" s="2164"/>
      <c r="B6" s="2145"/>
      <c r="C6" s="2145"/>
      <c r="D6" s="2145"/>
      <c r="E6" s="2145"/>
      <c r="F6" s="2145"/>
      <c r="G6" s="2145"/>
      <c r="H6" s="2145"/>
      <c r="I6" s="2145"/>
      <c r="J6" s="2145"/>
      <c r="K6" s="2162"/>
      <c r="L6" s="2162"/>
      <c r="M6" s="2162"/>
      <c r="N6" s="2162"/>
      <c r="O6" s="2162"/>
      <c r="P6" s="2162"/>
      <c r="Q6" s="2162"/>
      <c r="R6" s="1710"/>
      <c r="S6" s="2145"/>
      <c r="T6" s="2145"/>
      <c r="U6" s="2145"/>
      <c r="V6" s="2145"/>
      <c r="W6" s="2145"/>
      <c r="X6" s="2162"/>
      <c r="Y6" s="2145"/>
      <c r="Z6" s="2145"/>
      <c r="AA6" s="2145"/>
      <c r="AB6" s="2145"/>
      <c r="AC6" s="1709"/>
      <c r="AD6" s="2145"/>
      <c r="AE6" s="2146"/>
      <c r="AF6" s="2146"/>
      <c r="AG6" s="2146"/>
      <c r="AH6" s="2163"/>
      <c r="AI6" s="2163"/>
      <c r="AJ6" s="2146"/>
      <c r="AK6" s="2146"/>
      <c r="AL6" s="2146"/>
      <c r="AM6" s="2163"/>
      <c r="AN6" s="2163"/>
      <c r="AO6" s="2164"/>
      <c r="AP6" s="2163"/>
      <c r="AQ6" s="2145"/>
      <c r="AR6" s="2145"/>
      <c r="AS6" s="2145"/>
      <c r="AT6" s="2145"/>
      <c r="AU6" s="2145"/>
      <c r="AV6" s="2145"/>
      <c r="AW6" s="2145"/>
      <c r="AX6" s="2162"/>
      <c r="AY6" s="2145"/>
      <c r="AZ6" s="2145"/>
      <c r="BA6" s="2145"/>
      <c r="BB6" s="2145"/>
      <c r="BC6" s="2161"/>
      <c r="BD6" s="2145"/>
      <c r="BE6" s="2160"/>
      <c r="BF6" s="2160"/>
      <c r="BG6" s="38"/>
      <c r="BH6" s="35"/>
      <c r="BI6" s="39"/>
      <c r="BJ6" s="39"/>
      <c r="BK6" s="39"/>
      <c r="BL6" s="39"/>
      <c r="BM6" s="39"/>
      <c r="BN6" s="39"/>
      <c r="BO6" s="35"/>
      <c r="BP6" s="2157"/>
      <c r="BQ6" s="2159"/>
      <c r="BR6" s="2153" t="s">
        <v>243</v>
      </c>
      <c r="BS6" s="2154"/>
      <c r="BT6" s="1865"/>
      <c r="BU6" s="1866"/>
      <c r="BV6" s="1866"/>
      <c r="BW6" s="2172" t="s">
        <v>76</v>
      </c>
      <c r="BX6" s="2172"/>
      <c r="BY6" s="2172"/>
      <c r="BZ6" s="2170"/>
      <c r="CA6" s="2173"/>
      <c r="CB6" s="2173"/>
      <c r="CC6" s="2173"/>
      <c r="CD6" s="2174"/>
      <c r="CE6" s="40" t="s">
        <v>2</v>
      </c>
      <c r="CF6" s="41" t="s">
        <v>77</v>
      </c>
      <c r="CG6" s="41" t="s">
        <v>2</v>
      </c>
      <c r="CH6" s="42" t="s">
        <v>78</v>
      </c>
      <c r="CI6" s="2165"/>
      <c r="CJ6"/>
      <c r="CK6"/>
      <c r="CL6"/>
      <c r="CM6"/>
      <c r="CN6"/>
    </row>
    <row r="7" spans="1:92" ht="26.25" customHeight="1">
      <c r="A7" s="2144" t="s">
        <v>289</v>
      </c>
      <c r="B7" s="2149"/>
      <c r="C7" s="2149"/>
      <c r="D7" s="2149"/>
      <c r="E7" s="2149"/>
      <c r="F7" s="2149"/>
      <c r="G7" s="2149"/>
      <c r="H7" s="2149"/>
      <c r="I7" s="2149"/>
      <c r="J7" s="2149"/>
      <c r="K7" s="2149"/>
      <c r="L7" s="2149"/>
      <c r="M7" s="2149"/>
      <c r="N7" s="2149"/>
      <c r="O7" s="2149"/>
      <c r="P7" s="2149"/>
      <c r="Q7" s="2149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3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5"/>
      <c r="BE7" s="45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7"/>
      <c r="BR7" s="1887"/>
      <c r="BS7" s="1888"/>
      <c r="BT7" s="48"/>
      <c r="BU7" s="1892"/>
      <c r="BV7" s="49"/>
      <c r="BW7" s="50"/>
      <c r="BX7" s="51"/>
      <c r="BY7" s="49"/>
      <c r="BZ7" s="52"/>
      <c r="CA7" s="53"/>
      <c r="CB7" s="54" t="s">
        <v>80</v>
      </c>
      <c r="CC7" s="55" t="s">
        <v>81</v>
      </c>
      <c r="CD7" s="55" t="s">
        <v>82</v>
      </c>
      <c r="CE7" s="56">
        <f>CF7-1</f>
        <v>39568</v>
      </c>
      <c r="CF7" s="57">
        <v>39569</v>
      </c>
      <c r="CG7" s="56">
        <f ca="1">TODAY()</f>
        <v>43441</v>
      </c>
      <c r="CH7" s="58" t="b">
        <f ca="1">IF(CF7=CG7,TRUE)</f>
        <v>0</v>
      </c>
      <c r="CI7" s="55"/>
      <c r="CJ7"/>
      <c r="CK7"/>
      <c r="CL7"/>
      <c r="CM7"/>
      <c r="CN7"/>
    </row>
    <row r="8" spans="1:92" ht="45.75" customHeight="1">
      <c r="A8" s="59">
        <f>DAY(AG8)</f>
        <v>14</v>
      </c>
      <c r="B8" s="60">
        <v>100</v>
      </c>
      <c r="C8" s="60">
        <v>1</v>
      </c>
      <c r="D8" s="62" t="s">
        <v>304</v>
      </c>
      <c r="E8" s="62" t="s">
        <v>250</v>
      </c>
      <c r="F8" s="63"/>
      <c r="G8" s="64">
        <f>M8</f>
        <v>80</v>
      </c>
      <c r="H8" s="65">
        <f>M8-T8</f>
        <v>80</v>
      </c>
      <c r="I8" s="65">
        <f>IF($B$2&gt;=A8,($B$2-A8+1)*G8,"-")</f>
        <v>1440</v>
      </c>
      <c r="J8" s="65">
        <f>($A$2-A8+1)*G8</f>
        <v>1440</v>
      </c>
      <c r="K8" s="629" t="s">
        <v>264</v>
      </c>
      <c r="L8" s="67">
        <f ca="1">IF((AE8)&lt;$L$2-DAY($L$2)+1,H8,H8+T8)</f>
        <v>80</v>
      </c>
      <c r="M8" s="65">
        <v>80</v>
      </c>
      <c r="N8" s="66">
        <v>154</v>
      </c>
      <c r="O8" s="1845">
        <v>40</v>
      </c>
      <c r="P8" s="66">
        <v>1700</v>
      </c>
      <c r="Q8" s="112">
        <v>2030</v>
      </c>
      <c r="R8" s="66"/>
      <c r="S8" s="65"/>
      <c r="T8" s="65"/>
      <c r="U8" s="65"/>
      <c r="V8" s="65"/>
      <c r="W8" s="71"/>
      <c r="X8" s="71"/>
      <c r="Y8" s="65"/>
      <c r="Z8" s="65"/>
      <c r="AA8" s="65"/>
      <c r="AB8" s="71"/>
      <c r="AC8" s="72"/>
      <c r="AD8" s="134" t="s">
        <v>83</v>
      </c>
      <c r="AE8" s="73"/>
      <c r="AF8" s="73">
        <v>42018</v>
      </c>
      <c r="AG8" s="73">
        <v>42018</v>
      </c>
      <c r="AH8" s="74"/>
      <c r="AI8" s="75"/>
      <c r="AJ8" s="76"/>
      <c r="AK8" s="77">
        <v>42012</v>
      </c>
      <c r="AL8" s="77">
        <f>AK8</f>
        <v>42012</v>
      </c>
      <c r="AM8" s="74"/>
      <c r="AN8" s="75"/>
      <c r="AO8" s="78">
        <f>DAY(AL8)</f>
        <v>8</v>
      </c>
      <c r="AP8" s="74">
        <v>73</v>
      </c>
      <c r="AQ8" s="67">
        <v>171</v>
      </c>
      <c r="AR8" s="79">
        <v>51</v>
      </c>
      <c r="AS8" s="80">
        <v>2027</v>
      </c>
      <c r="AT8" s="80">
        <v>1520</v>
      </c>
      <c r="AU8" s="68">
        <v>19</v>
      </c>
      <c r="AV8" s="68">
        <v>15</v>
      </c>
      <c r="AW8" s="81">
        <v>28.4</v>
      </c>
      <c r="AX8" s="82">
        <v>50</v>
      </c>
      <c r="AY8" s="83" t="s">
        <v>84</v>
      </c>
      <c r="AZ8" s="84">
        <f>IF(AP8&lt;1,"-",AP8)</f>
        <v>73</v>
      </c>
      <c r="BA8" s="64">
        <f>IF(AZ8="-","-",($B$2-AO8+1)*AZ8)</f>
        <v>1752</v>
      </c>
      <c r="BB8" s="63">
        <f>IF(AZ8="-","-",AZ8-H8)</f>
        <v>-7</v>
      </c>
      <c r="BC8" s="86">
        <f>IF(AZ8="-","-",AZ8/H8)</f>
        <v>0.91249999999999998</v>
      </c>
      <c r="BD8" s="139">
        <f>IF(AP8&lt;1,IF($B$2&gt;=A8,($A$2-A8+1)*-1*H8,"-"),AZ8*($A$2-AO8+1)-H8*($A$2-A8+1))</f>
        <v>312</v>
      </c>
      <c r="BE8" s="88"/>
      <c r="BF8" s="89"/>
      <c r="BG8" s="90"/>
      <c r="BH8" s="91"/>
      <c r="BI8" s="91"/>
      <c r="BJ8" s="92"/>
      <c r="BK8" s="91"/>
      <c r="BL8" s="93"/>
      <c r="BM8" s="93"/>
      <c r="BN8" s="91" t="str">
        <f t="shared" ref="BN8:BO9" si="0">IF(BH8=0,"-",BH8-AP8)</f>
        <v>-</v>
      </c>
      <c r="BO8" s="91" t="str">
        <f t="shared" si="0"/>
        <v>-</v>
      </c>
      <c r="BP8" s="94" t="str">
        <f>IF(BN8="-","-",AZ8+BN8)</f>
        <v>-</v>
      </c>
      <c r="BQ8" s="95" t="str">
        <f>IF(BN8="-","-",(($B$2-AO8+1)*(AZ8+BN8)))</f>
        <v>-</v>
      </c>
      <c r="BR8" s="96"/>
      <c r="BS8" s="97"/>
      <c r="BT8" s="97"/>
      <c r="BU8" s="1921"/>
      <c r="BV8" s="99"/>
      <c r="BW8" s="96"/>
      <c r="BX8" s="97"/>
      <c r="BY8" s="100"/>
      <c r="BZ8" s="101"/>
      <c r="CA8" s="102"/>
      <c r="CB8" s="103">
        <f>($D$1-AL8)*AZ8</f>
        <v>-511</v>
      </c>
      <c r="CC8" s="104" t="str">
        <f>IF(AO8&gt;0,"-",(AG8-CA8))</f>
        <v>-</v>
      </c>
      <c r="CD8" s="105" t="str">
        <f>IF(AO8&gt;0,"-",(($D$1-CA8)*H8))</f>
        <v>-</v>
      </c>
      <c r="CE8" s="106"/>
      <c r="CF8" s="107"/>
      <c r="CG8" s="108"/>
      <c r="CH8" s="109"/>
      <c r="CI8" s="110" t="s">
        <v>79</v>
      </c>
      <c r="CJ8" s="111"/>
      <c r="CK8" s="111"/>
    </row>
    <row r="9" spans="1:92" ht="45.75" customHeight="1">
      <c r="A9" s="59">
        <f>DAY(AG9)</f>
        <v>28</v>
      </c>
      <c r="B9" s="60">
        <v>200</v>
      </c>
      <c r="C9" s="60">
        <v>2</v>
      </c>
      <c r="D9" s="61" t="s">
        <v>304</v>
      </c>
      <c r="E9" s="62" t="s">
        <v>251</v>
      </c>
      <c r="F9" s="63"/>
      <c r="G9" s="64">
        <f>M9</f>
        <v>82</v>
      </c>
      <c r="H9" s="65">
        <f>M9-T9</f>
        <v>82</v>
      </c>
      <c r="I9" s="65">
        <f>IF($B$2&gt;=A9,($B$2-A9+1)*G9,"-")</f>
        <v>328</v>
      </c>
      <c r="J9" s="65">
        <f>($A$2-A9+1)*G9</f>
        <v>328</v>
      </c>
      <c r="K9" s="66" t="s">
        <v>262</v>
      </c>
      <c r="L9" s="67">
        <f ca="1">IF((AE9)&lt;$L$2-DAY($L$2)+1,H9,H9+T9)</f>
        <v>82</v>
      </c>
      <c r="M9" s="65">
        <v>82</v>
      </c>
      <c r="N9" s="112">
        <v>90</v>
      </c>
      <c r="O9" s="1845">
        <v>0.1</v>
      </c>
      <c r="P9" s="66">
        <v>1700</v>
      </c>
      <c r="Q9" s="112">
        <v>3005.6</v>
      </c>
      <c r="R9" s="66"/>
      <c r="S9" s="66"/>
      <c r="T9" s="65"/>
      <c r="U9" s="65"/>
      <c r="V9" s="65"/>
      <c r="W9" s="71"/>
      <c r="X9" s="71"/>
      <c r="Y9" s="65"/>
      <c r="Z9" s="65"/>
      <c r="AA9" s="65"/>
      <c r="AB9" s="71"/>
      <c r="AC9" s="72"/>
      <c r="AD9" s="134" t="s">
        <v>83</v>
      </c>
      <c r="AE9" s="73"/>
      <c r="AF9" s="73">
        <v>42032</v>
      </c>
      <c r="AG9" s="73">
        <f>AF9</f>
        <v>42032</v>
      </c>
      <c r="AH9" s="74"/>
      <c r="AI9" s="75"/>
      <c r="AJ9" s="76"/>
      <c r="AK9" s="77">
        <v>42035</v>
      </c>
      <c r="AL9" s="77">
        <f>AK9</f>
        <v>42035</v>
      </c>
      <c r="AM9" s="115"/>
      <c r="AN9" s="116"/>
      <c r="AO9" s="78">
        <f>DAY(AL9)</f>
        <v>31</v>
      </c>
      <c r="AP9" s="117">
        <v>82</v>
      </c>
      <c r="AQ9" s="112">
        <v>90</v>
      </c>
      <c r="AR9" s="113">
        <v>0.1</v>
      </c>
      <c r="AS9" s="119">
        <v>3005.6</v>
      </c>
      <c r="AT9" s="119">
        <v>1700</v>
      </c>
      <c r="AU9" s="120">
        <v>18</v>
      </c>
      <c r="AV9" s="120">
        <v>15</v>
      </c>
      <c r="AW9" s="121">
        <v>25.4</v>
      </c>
      <c r="AX9" s="122">
        <v>50</v>
      </c>
      <c r="AY9" s="83" t="s">
        <v>266</v>
      </c>
      <c r="AZ9" s="84">
        <f>IF(AP9&lt;1,"-",AP9)</f>
        <v>82</v>
      </c>
      <c r="BA9" s="64">
        <f>IF(AZ9="-","-",($B$2-AO9+1)*AZ9)</f>
        <v>82</v>
      </c>
      <c r="BB9" s="63">
        <f>IF(AZ9="-","-",AZ9-H9)</f>
        <v>0</v>
      </c>
      <c r="BC9" s="86">
        <f>IF(AZ9="-","-",AZ9/H9)</f>
        <v>1</v>
      </c>
      <c r="BD9" s="139">
        <f>IF(AP9&lt;1,IF($B$2&gt;=A9,($A$2-A9+1)*-1*H9,"-"),AZ9*($A$2-AO9+1)-H9*($A$2-A9+1))</f>
        <v>-246</v>
      </c>
      <c r="BE9" s="88"/>
      <c r="BF9" s="89"/>
      <c r="BG9" s="90"/>
      <c r="BH9" s="124"/>
      <c r="BI9" s="91"/>
      <c r="BJ9" s="93"/>
      <c r="BK9" s="91"/>
      <c r="BL9" s="93"/>
      <c r="BM9" s="93"/>
      <c r="BN9" s="91" t="str">
        <f t="shared" si="0"/>
        <v>-</v>
      </c>
      <c r="BO9" s="91" t="str">
        <f t="shared" si="0"/>
        <v>-</v>
      </c>
      <c r="BP9" s="94" t="str">
        <f>IF(BN9="-","-",AZ9+BN9)</f>
        <v>-</v>
      </c>
      <c r="BQ9" s="95" t="str">
        <f>IF(BN9="-","-",(($B$2-AO9+1)*(AZ9+BN9)))</f>
        <v>-</v>
      </c>
      <c r="BR9" s="96"/>
      <c r="BS9" s="97"/>
      <c r="BT9" s="97"/>
      <c r="BU9" s="1921"/>
      <c r="BV9" s="99"/>
      <c r="BW9" s="96"/>
      <c r="BX9" s="97"/>
      <c r="BY9" s="100"/>
      <c r="BZ9" s="101"/>
      <c r="CA9" s="102"/>
      <c r="CB9" s="103"/>
      <c r="CC9" s="125"/>
      <c r="CD9" s="105"/>
      <c r="CE9" s="106"/>
      <c r="CF9" s="107"/>
      <c r="CG9" s="108"/>
      <c r="CH9" s="109"/>
      <c r="CI9" s="110" t="s">
        <v>79</v>
      </c>
      <c r="CJ9" s="111"/>
      <c r="CK9" s="111"/>
      <c r="CM9" s="111"/>
    </row>
    <row r="10" spans="1:92" ht="30" hidden="1" customHeight="1" outlineLevel="1">
      <c r="A10" s="59"/>
      <c r="B10" s="60"/>
      <c r="C10" s="60"/>
      <c r="D10" s="62"/>
      <c r="E10" s="62"/>
      <c r="F10" s="63"/>
      <c r="G10" s="64"/>
      <c r="H10" s="65"/>
      <c r="I10" s="65"/>
      <c r="J10" s="65"/>
      <c r="K10" s="66"/>
      <c r="L10" s="67"/>
      <c r="M10" s="65"/>
      <c r="N10" s="112"/>
      <c r="O10" s="113"/>
      <c r="P10" s="66"/>
      <c r="Q10" s="66"/>
      <c r="R10" s="66"/>
      <c r="S10" s="65"/>
      <c r="T10" s="65"/>
      <c r="U10" s="65"/>
      <c r="V10" s="65"/>
      <c r="W10" s="71"/>
      <c r="X10" s="71"/>
      <c r="Y10" s="65"/>
      <c r="Z10" s="65"/>
      <c r="AA10" s="65"/>
      <c r="AB10" s="71"/>
      <c r="AC10" s="72"/>
      <c r="AD10" s="134"/>
      <c r="AE10" s="73"/>
      <c r="AF10" s="73"/>
      <c r="AG10" s="73"/>
      <c r="AH10" s="74"/>
      <c r="AI10" s="75"/>
      <c r="AJ10" s="114"/>
      <c r="AK10" s="77"/>
      <c r="AL10" s="77"/>
      <c r="AM10" s="115"/>
      <c r="AN10" s="116"/>
      <c r="AO10" s="78"/>
      <c r="AP10" s="117"/>
      <c r="AQ10" s="118"/>
      <c r="AR10" s="79"/>
      <c r="AS10" s="119"/>
      <c r="AT10" s="119"/>
      <c r="AU10" s="120"/>
      <c r="AV10" s="120"/>
      <c r="AW10" s="121"/>
      <c r="AX10" s="122"/>
      <c r="AY10" s="83"/>
      <c r="AZ10" s="84"/>
      <c r="BA10" s="64"/>
      <c r="BB10" s="63"/>
      <c r="BC10" s="86"/>
      <c r="BD10" s="139"/>
      <c r="BE10" s="88"/>
      <c r="BF10" s="89"/>
      <c r="BG10" s="126"/>
      <c r="BH10" s="127"/>
      <c r="BI10" s="128"/>
      <c r="BJ10" s="129"/>
      <c r="BK10" s="128"/>
      <c r="BL10" s="129"/>
      <c r="BM10" s="129"/>
      <c r="BN10" s="91"/>
      <c r="BO10" s="91"/>
      <c r="BP10" s="94"/>
      <c r="BQ10" s="95"/>
      <c r="BR10" s="130"/>
      <c r="BS10" s="131"/>
      <c r="BT10" s="131"/>
      <c r="BU10" s="1922"/>
      <c r="BV10" s="99"/>
      <c r="BW10" s="130"/>
      <c r="BX10" s="131"/>
      <c r="BY10" s="131"/>
      <c r="BZ10" s="101"/>
      <c r="CA10" s="133"/>
      <c r="CB10" s="103"/>
      <c r="CC10" s="125"/>
      <c r="CD10" s="105"/>
      <c r="CE10" s="106"/>
      <c r="CF10" s="107"/>
      <c r="CG10" s="108"/>
      <c r="CH10" s="109"/>
      <c r="CI10" s="110"/>
      <c r="CJ10" s="111"/>
      <c r="CK10" s="111"/>
      <c r="CM10" s="111"/>
    </row>
    <row r="11" spans="1:92" ht="30" hidden="1" customHeight="1" outlineLevel="1">
      <c r="A11" s="59"/>
      <c r="B11" s="60"/>
      <c r="C11" s="60"/>
      <c r="D11" s="62"/>
      <c r="E11" s="62"/>
      <c r="F11" s="63"/>
      <c r="G11" s="64"/>
      <c r="H11" s="65"/>
      <c r="I11" s="65"/>
      <c r="J11" s="65"/>
      <c r="K11" s="66"/>
      <c r="L11" s="67"/>
      <c r="M11" s="65"/>
      <c r="N11" s="112"/>
      <c r="O11" s="113"/>
      <c r="P11" s="66"/>
      <c r="Q11" s="66"/>
      <c r="R11" s="66"/>
      <c r="S11" s="65"/>
      <c r="T11" s="65"/>
      <c r="U11" s="65"/>
      <c r="V11" s="65"/>
      <c r="W11" s="71"/>
      <c r="X11" s="71"/>
      <c r="Y11" s="65"/>
      <c r="Z11" s="65"/>
      <c r="AA11" s="65"/>
      <c r="AB11" s="71"/>
      <c r="AC11" s="72"/>
      <c r="AD11" s="134"/>
      <c r="AE11" s="73"/>
      <c r="AF11" s="73"/>
      <c r="AG11" s="73"/>
      <c r="AH11" s="74"/>
      <c r="AI11" s="75"/>
      <c r="AJ11" s="114"/>
      <c r="AK11" s="77"/>
      <c r="AL11" s="77"/>
      <c r="AM11" s="115"/>
      <c r="AN11" s="116"/>
      <c r="AO11" s="78"/>
      <c r="AP11" s="117"/>
      <c r="AQ11" s="118"/>
      <c r="AR11" s="79"/>
      <c r="AS11" s="119"/>
      <c r="AT11" s="119"/>
      <c r="AU11" s="120"/>
      <c r="AV11" s="120"/>
      <c r="AW11" s="121"/>
      <c r="AX11" s="122"/>
      <c r="AY11" s="83"/>
      <c r="AZ11" s="84"/>
      <c r="BA11" s="64"/>
      <c r="BB11" s="63"/>
      <c r="BC11" s="86"/>
      <c r="BD11" s="139"/>
      <c r="BE11" s="88"/>
      <c r="BF11" s="89"/>
      <c r="BG11" s="126"/>
      <c r="BH11" s="127"/>
      <c r="BI11" s="128"/>
      <c r="BJ11" s="129"/>
      <c r="BK11" s="128"/>
      <c r="BL11" s="129"/>
      <c r="BM11" s="129"/>
      <c r="BN11" s="128"/>
      <c r="BO11" s="128"/>
      <c r="BP11" s="1736"/>
      <c r="BQ11" s="1737"/>
      <c r="BR11" s="130"/>
      <c r="BS11" s="131"/>
      <c r="BT11" s="131"/>
      <c r="BU11" s="1922"/>
      <c r="BV11" s="99"/>
      <c r="BW11" s="130"/>
      <c r="BX11" s="131"/>
      <c r="BY11" s="131"/>
      <c r="BZ11" s="101"/>
      <c r="CA11" s="133"/>
      <c r="CB11" s="103"/>
      <c r="CC11" s="125"/>
      <c r="CD11" s="105"/>
      <c r="CE11" s="106"/>
      <c r="CF11" s="107"/>
      <c r="CG11" s="108"/>
      <c r="CH11" s="109"/>
      <c r="CI11" s="110"/>
      <c r="CJ11" s="111"/>
      <c r="CK11" s="111"/>
      <c r="CM11" s="111"/>
    </row>
    <row r="12" spans="1:92" ht="30" customHeight="1" outlineLevel="1">
      <c r="A12" s="59"/>
      <c r="B12" s="60"/>
      <c r="C12" s="60"/>
      <c r="D12" s="62"/>
      <c r="E12" s="62"/>
      <c r="F12" s="63"/>
      <c r="G12" s="64"/>
      <c r="H12" s="65"/>
      <c r="I12" s="65"/>
      <c r="J12" s="65"/>
      <c r="K12" s="66"/>
      <c r="L12" s="67"/>
      <c r="M12" s="65"/>
      <c r="N12" s="66"/>
      <c r="O12" s="113"/>
      <c r="P12" s="66"/>
      <c r="Q12" s="66"/>
      <c r="R12" s="66"/>
      <c r="S12" s="65"/>
      <c r="T12" s="65"/>
      <c r="U12" s="65"/>
      <c r="V12" s="65"/>
      <c r="W12" s="71"/>
      <c r="X12" s="71"/>
      <c r="Y12" s="65"/>
      <c r="Z12" s="65"/>
      <c r="AA12" s="65"/>
      <c r="AB12" s="71"/>
      <c r="AC12" s="72"/>
      <c r="AD12" s="134"/>
      <c r="AE12" s="73"/>
      <c r="AF12" s="135"/>
      <c r="AG12" s="73"/>
      <c r="AH12" s="74"/>
      <c r="AI12" s="75"/>
      <c r="AJ12" s="114"/>
      <c r="AK12" s="136"/>
      <c r="AL12" s="77"/>
      <c r="AM12" s="117"/>
      <c r="AN12" s="137"/>
      <c r="AO12" s="78"/>
      <c r="AP12" s="117"/>
      <c r="AQ12" s="118"/>
      <c r="AR12" s="79"/>
      <c r="AS12" s="119"/>
      <c r="AT12" s="119"/>
      <c r="AU12" s="68"/>
      <c r="AV12" s="68"/>
      <c r="AW12" s="81"/>
      <c r="AX12" s="138"/>
      <c r="AY12" s="83"/>
      <c r="AZ12" s="84"/>
      <c r="BA12" s="64"/>
      <c r="BB12" s="63"/>
      <c r="BC12" s="86"/>
      <c r="BD12" s="87"/>
      <c r="BE12" s="140"/>
      <c r="BF12" s="89"/>
      <c r="BG12" s="141"/>
      <c r="BH12" s="142"/>
      <c r="BI12" s="143"/>
      <c r="BJ12" s="144"/>
      <c r="BK12" s="143"/>
      <c r="BL12" s="145"/>
      <c r="BM12" s="145"/>
      <c r="BN12" s="143"/>
      <c r="BO12" s="143"/>
      <c r="BP12" s="146"/>
      <c r="BQ12" s="147"/>
      <c r="BR12" s="130"/>
      <c r="BS12" s="131"/>
      <c r="BT12" s="131"/>
      <c r="BU12" s="1922"/>
      <c r="BV12" s="99"/>
      <c r="BW12" s="130"/>
      <c r="BX12" s="131"/>
      <c r="BY12" s="131"/>
      <c r="BZ12" s="101"/>
      <c r="CA12" s="133"/>
      <c r="CB12" s="103"/>
      <c r="CC12" s="104"/>
      <c r="CD12" s="105"/>
      <c r="CE12" s="106"/>
      <c r="CF12" s="107"/>
      <c r="CG12" s="108"/>
      <c r="CH12" s="109"/>
      <c r="CI12" s="110"/>
      <c r="CJ12" s="111"/>
      <c r="CK12" s="111"/>
    </row>
    <row r="13" spans="1:92" ht="18.75">
      <c r="A13" s="148" t="s">
        <v>86</v>
      </c>
      <c r="B13" s="149">
        <f>COUNTIF(A8:A12,$B$1)</f>
        <v>2</v>
      </c>
      <c r="C13" s="150"/>
      <c r="D13" s="151"/>
      <c r="E13" s="151"/>
      <c r="F13" s="151"/>
      <c r="G13" s="152"/>
      <c r="H13" s="152">
        <f>SUMIF(A8:A12,$B$1,H8:H12)</f>
        <v>162</v>
      </c>
      <c r="I13" s="152">
        <f>SUM(I8:I12)</f>
        <v>1768</v>
      </c>
      <c r="J13" s="152">
        <f>SUM(J8:J12)</f>
        <v>1768</v>
      </c>
      <c r="K13" s="152"/>
      <c r="L13" s="153">
        <f ca="1">SUMIF(A8:A12,$B$1,L8:L12)</f>
        <v>162</v>
      </c>
      <c r="M13" s="152"/>
      <c r="N13" s="152"/>
      <c r="O13" s="152"/>
      <c r="P13" s="152"/>
      <c r="Q13" s="152"/>
      <c r="R13" s="152"/>
      <c r="S13" s="152"/>
      <c r="T13" s="152"/>
      <c r="U13" s="152"/>
      <c r="V13" s="151"/>
      <c r="W13" s="151"/>
      <c r="X13" s="151"/>
      <c r="Y13" s="152"/>
      <c r="Z13" s="152"/>
      <c r="AA13" s="151"/>
      <c r="AB13" s="151"/>
      <c r="AC13" s="151"/>
      <c r="AD13" s="151"/>
      <c r="AE13" s="154"/>
      <c r="AF13" s="155"/>
      <c r="AG13" s="156"/>
      <c r="AH13" s="152"/>
      <c r="AI13" s="157"/>
      <c r="AJ13" s="154"/>
      <c r="AK13" s="156"/>
      <c r="AL13" s="156"/>
      <c r="AM13" s="152"/>
      <c r="AN13" s="157"/>
      <c r="AO13" s="158">
        <f>COUNTA(AO8:AO12)</f>
        <v>2</v>
      </c>
      <c r="AP13" s="152">
        <f>SUM(AP8:AP12)</f>
        <v>155</v>
      </c>
      <c r="AQ13" s="152">
        <f>SUM(AQ8:AQ12)</f>
        <v>261</v>
      </c>
      <c r="AR13" s="159"/>
      <c r="AS13" s="160"/>
      <c r="AT13" s="152"/>
      <c r="AU13" s="161"/>
      <c r="AV13" s="151"/>
      <c r="AW13" s="151"/>
      <c r="AX13" s="151"/>
      <c r="AY13" s="151"/>
      <c r="AZ13" s="162">
        <f>SUM(AZ8:AZ12)</f>
        <v>155</v>
      </c>
      <c r="BA13" s="162">
        <f>SUM(BA8:BA12)</f>
        <v>1834</v>
      </c>
      <c r="BB13" s="163">
        <f>SUM(BB8:BB12)</f>
        <v>-7</v>
      </c>
      <c r="BC13" s="164">
        <f>IF(COUNT(BC8:BC12)=0,"-",AVERAGE(BC8:BC12))</f>
        <v>0.95625000000000004</v>
      </c>
      <c r="BD13" s="165"/>
      <c r="BE13" s="166"/>
      <c r="BF13" s="166"/>
      <c r="BG13" s="165"/>
      <c r="BH13" s="163"/>
      <c r="BI13" s="165"/>
      <c r="BJ13" s="165"/>
      <c r="BK13" s="165"/>
      <c r="BL13" s="165"/>
      <c r="BM13" s="165"/>
      <c r="BN13" s="165"/>
      <c r="BO13" s="165"/>
      <c r="BP13" s="167"/>
      <c r="BQ13" s="167"/>
      <c r="BR13" s="168"/>
      <c r="BS13" s="169"/>
      <c r="BT13" s="169"/>
      <c r="BU13" s="170"/>
      <c r="BV13" s="170"/>
      <c r="BW13" s="168"/>
      <c r="BX13" s="169"/>
      <c r="BY13" s="169"/>
      <c r="BZ13" s="171"/>
      <c r="CA13" s="172"/>
      <c r="CB13" s="173">
        <f>AO13</f>
        <v>2</v>
      </c>
      <c r="CC13" s="173">
        <f>COUNTIF(CC8:CC12,"=0")</f>
        <v>0</v>
      </c>
      <c r="CD13" s="174">
        <f>SUM(COUNTIF(CC8:CC12,"&lt;0"),COUNTIF(CC8:CC12,"&gt;0"))</f>
        <v>0</v>
      </c>
      <c r="CE13" s="175"/>
      <c r="CF13" s="176"/>
      <c r="CG13" s="176"/>
      <c r="CH13" s="177"/>
      <c r="CI13" s="178"/>
    </row>
    <row r="14" spans="1:92" ht="18.75">
      <c r="A14" s="179" t="s">
        <v>87</v>
      </c>
      <c r="B14" s="180">
        <f>COUNT(A8:A12)</f>
        <v>2</v>
      </c>
      <c r="C14" s="181"/>
      <c r="D14" s="182"/>
      <c r="E14" s="182"/>
      <c r="F14" s="182"/>
      <c r="G14" s="183"/>
      <c r="H14" s="184">
        <f>SUM(H8:H12)</f>
        <v>162</v>
      </c>
      <c r="I14" s="184"/>
      <c r="J14" s="184">
        <f>SUM(J8:J12)</f>
        <v>1768</v>
      </c>
      <c r="K14" s="184"/>
      <c r="L14" s="184"/>
      <c r="M14" s="184"/>
      <c r="N14" s="184"/>
      <c r="O14" s="184"/>
      <c r="P14" s="184"/>
      <c r="Q14" s="184"/>
      <c r="R14" s="184"/>
      <c r="S14" s="185"/>
      <c r="T14" s="183"/>
      <c r="U14" s="185"/>
      <c r="V14" s="182"/>
      <c r="W14" s="182"/>
      <c r="X14" s="182"/>
      <c r="Y14" s="183"/>
      <c r="Z14" s="185"/>
      <c r="AA14" s="182"/>
      <c r="AB14" s="182"/>
      <c r="AC14" s="182"/>
      <c r="AD14" s="182"/>
      <c r="AE14" s="186"/>
      <c r="AF14" s="186"/>
      <c r="AG14" s="186"/>
      <c r="AH14" s="184"/>
      <c r="AI14" s="184"/>
      <c r="AJ14" s="186"/>
      <c r="AK14" s="186"/>
      <c r="AL14" s="186"/>
      <c r="AM14" s="184"/>
      <c r="AN14" s="184"/>
      <c r="AO14" s="184"/>
      <c r="AP14" s="184"/>
      <c r="AQ14" s="184"/>
      <c r="AR14" s="182"/>
      <c r="AS14" s="182"/>
      <c r="AT14" s="182"/>
      <c r="AU14" s="187"/>
      <c r="AV14" s="182"/>
      <c r="AW14" s="182"/>
      <c r="AX14" s="182"/>
      <c r="AY14" s="182"/>
      <c r="AZ14" s="182"/>
      <c r="BA14" s="182"/>
      <c r="BB14" s="182"/>
      <c r="BC14" s="182"/>
      <c r="BD14" s="188">
        <f>SUM(BD8:BD12)</f>
        <v>66</v>
      </c>
      <c r="BE14" s="189"/>
      <c r="BF14" s="189"/>
      <c r="BG14" s="190"/>
      <c r="BH14" s="190"/>
      <c r="BI14" s="190"/>
      <c r="BJ14" s="190"/>
      <c r="BK14" s="190"/>
      <c r="BL14" s="190"/>
      <c r="BM14" s="190"/>
      <c r="BN14" s="190"/>
      <c r="BO14" s="190"/>
      <c r="BP14" s="188"/>
      <c r="BQ14" s="191"/>
      <c r="BR14" s="192"/>
      <c r="BS14" s="193"/>
      <c r="BT14" s="193"/>
      <c r="BU14" s="194"/>
      <c r="BV14" s="194"/>
      <c r="BW14" s="192"/>
      <c r="BX14" s="193"/>
      <c r="BY14" s="193"/>
      <c r="BZ14" s="195"/>
      <c r="CA14" s="196"/>
      <c r="CB14" s="197">
        <f>SUM(CB8:CB12)</f>
        <v>-511</v>
      </c>
      <c r="CC14" s="197">
        <f>SUMIF(CC8:CC12,"=0",CD8:CD12)</f>
        <v>0</v>
      </c>
      <c r="CD14" s="198">
        <f>SUMIF(CC8:CC12,"&lt;&gt;0",CD8:CD12)</f>
        <v>0</v>
      </c>
      <c r="CE14" s="199"/>
      <c r="CF14" s="200"/>
      <c r="CG14" s="200"/>
      <c r="CH14" s="201"/>
      <c r="CI14" s="202"/>
    </row>
    <row r="15" spans="1:92" ht="30" hidden="1" customHeight="1" outlineLevel="1">
      <c r="A15" s="2152" t="s">
        <v>88</v>
      </c>
      <c r="B15" s="2152"/>
      <c r="C15" s="2152"/>
      <c r="D15" s="2152"/>
      <c r="E15" s="1750"/>
      <c r="F15" s="1682"/>
      <c r="G15" s="1682"/>
      <c r="H15" s="1682"/>
      <c r="I15" s="1682"/>
      <c r="J15" s="1682"/>
      <c r="K15" s="1682"/>
      <c r="L15" s="1682"/>
      <c r="M15" s="1682"/>
      <c r="N15" s="1682"/>
      <c r="O15" s="1682"/>
      <c r="P15" s="1682"/>
      <c r="Q15" s="1682"/>
      <c r="R15" s="1682"/>
      <c r="S15" s="1682"/>
      <c r="T15" s="1682"/>
      <c r="U15" s="1682"/>
      <c r="V15" s="1682"/>
      <c r="W15" s="1682"/>
      <c r="X15" s="1682"/>
      <c r="Y15" s="1682"/>
      <c r="Z15" s="1682"/>
      <c r="AA15" s="1682"/>
      <c r="AB15" s="1682"/>
      <c r="AC15" s="1682"/>
      <c r="AD15" s="1750"/>
      <c r="AE15" s="1682"/>
      <c r="AF15" s="1682"/>
      <c r="AG15" s="1682"/>
      <c r="AH15" s="1682"/>
      <c r="AI15" s="1682"/>
      <c r="AJ15" s="1682"/>
      <c r="AK15" s="1682"/>
      <c r="AL15" s="1682"/>
      <c r="AM15" s="1682"/>
      <c r="AN15" s="1682"/>
      <c r="AO15" s="1682"/>
      <c r="AP15" s="1682"/>
      <c r="AQ15" s="1682"/>
      <c r="AR15" s="1682"/>
      <c r="AS15" s="1682"/>
      <c r="AT15" s="1682"/>
      <c r="AU15" s="1682"/>
      <c r="AV15" s="1682"/>
      <c r="AW15" s="1682"/>
      <c r="AX15" s="1682"/>
      <c r="AY15" s="1682"/>
      <c r="AZ15" s="1682"/>
      <c r="BA15" s="1682"/>
      <c r="BB15" s="1751"/>
      <c r="BC15" s="1751"/>
      <c r="BD15" s="1752"/>
      <c r="BE15" s="1753"/>
      <c r="BF15" s="1754"/>
      <c r="BG15" s="1754"/>
      <c r="BH15" s="1754"/>
      <c r="BI15" s="1754"/>
      <c r="BJ15" s="1754"/>
      <c r="BK15" s="1754"/>
      <c r="BL15" s="1754"/>
      <c r="BM15" s="1754"/>
      <c r="BN15" s="1754"/>
      <c r="BO15" s="1754"/>
      <c r="BP15" s="1755"/>
      <c r="BQ15" s="1756"/>
      <c r="BR15" s="1757"/>
      <c r="BS15" s="1758"/>
      <c r="BT15" s="1758"/>
      <c r="BU15" s="1759"/>
      <c r="BV15" s="1759"/>
      <c r="BW15" s="1757"/>
      <c r="BX15" s="1758"/>
      <c r="BY15" s="1759"/>
      <c r="BZ15" s="1760"/>
      <c r="CA15" s="1755"/>
      <c r="CB15" s="1755"/>
      <c r="CC15" s="1755"/>
      <c r="CD15" s="1756"/>
      <c r="CE15" s="1755"/>
      <c r="CF15" s="1755"/>
      <c r="CG15" s="1755"/>
      <c r="CH15" s="1755"/>
      <c r="CI15" s="1761"/>
    </row>
    <row r="16" spans="1:92" ht="33" hidden="1" customHeight="1" outlineLevel="1">
      <c r="A16" s="310"/>
      <c r="B16" s="505"/>
      <c r="C16" s="505"/>
      <c r="D16" s="62"/>
      <c r="E16" s="62"/>
      <c r="F16" s="63"/>
      <c r="G16" s="64"/>
      <c r="H16" s="65"/>
      <c r="I16" s="65"/>
      <c r="J16" s="65"/>
      <c r="K16" s="66"/>
      <c r="L16" s="67"/>
      <c r="M16" s="252"/>
      <c r="N16" s="252"/>
      <c r="O16" s="69"/>
      <c r="P16" s="71"/>
      <c r="Q16" s="71"/>
      <c r="R16" s="66"/>
      <c r="S16" s="65"/>
      <c r="T16" s="65"/>
      <c r="U16" s="65"/>
      <c r="V16" s="65"/>
      <c r="W16" s="71"/>
      <c r="X16" s="71"/>
      <c r="Y16" s="65"/>
      <c r="Z16" s="65"/>
      <c r="AA16" s="65"/>
      <c r="AB16" s="71"/>
      <c r="AC16" s="72"/>
      <c r="AD16" s="134"/>
      <c r="AE16" s="73"/>
      <c r="AF16" s="73"/>
      <c r="AG16" s="73"/>
      <c r="AH16" s="74"/>
      <c r="AI16" s="75"/>
      <c r="AJ16" s="76"/>
      <c r="AK16" s="77"/>
      <c r="AL16" s="77"/>
      <c r="AM16" s="74"/>
      <c r="AN16" s="75"/>
      <c r="AO16" s="78"/>
      <c r="AP16" s="74"/>
      <c r="AQ16" s="112"/>
      <c r="AR16" s="1743"/>
      <c r="AS16" s="65"/>
      <c r="AT16" s="65"/>
      <c r="AU16" s="252"/>
      <c r="AV16" s="252"/>
      <c r="AW16" s="74"/>
      <c r="AX16" s="1744"/>
      <c r="AY16" s="83"/>
      <c r="AZ16" s="311"/>
      <c r="BA16" s="63"/>
      <c r="BB16" s="63"/>
      <c r="BC16" s="86"/>
      <c r="BD16" s="139"/>
      <c r="BE16" s="88"/>
      <c r="BF16" s="89"/>
      <c r="BG16" s="1745"/>
      <c r="BH16" s="450"/>
      <c r="BI16" s="450"/>
      <c r="BJ16" s="678"/>
      <c r="BK16" s="450"/>
      <c r="BL16" s="390"/>
      <c r="BM16" s="390"/>
      <c r="BN16" s="450" t="str">
        <f>IF(BH16=0,"-",BH16-AP16)</f>
        <v>-</v>
      </c>
      <c r="BO16" s="450" t="str">
        <f>IF(BI16=0,"-",BI16-AQ16)</f>
        <v>-</v>
      </c>
      <c r="BP16" s="457" t="str">
        <f>IF(BN16="-","-",AZ16+BN16)</f>
        <v>-</v>
      </c>
      <c r="BQ16" s="458" t="str">
        <f>IF(BN16="-","-",(($B$2-AO16+1)*(AZ16+BN16)))</f>
        <v>-</v>
      </c>
      <c r="BR16" s="96"/>
      <c r="BS16" s="97"/>
      <c r="BT16" s="97"/>
      <c r="BU16" s="1921"/>
      <c r="BV16" s="99"/>
      <c r="BW16" s="96"/>
      <c r="BX16" s="97"/>
      <c r="BY16" s="100"/>
      <c r="BZ16" s="1746"/>
      <c r="CA16" s="1747"/>
      <c r="CB16" s="212"/>
      <c r="CC16" s="281"/>
      <c r="CD16" s="1748"/>
      <c r="CE16" s="1749"/>
      <c r="CF16" s="719"/>
      <c r="CG16" s="859"/>
      <c r="CH16" s="720"/>
      <c r="CI16" s="110"/>
      <c r="CJ16" s="111"/>
      <c r="CK16" s="111"/>
    </row>
    <row r="17" spans="1:91" ht="33" hidden="1" customHeight="1" outlineLevel="1">
      <c r="A17" s="59"/>
      <c r="B17" s="60"/>
      <c r="C17" s="60"/>
      <c r="D17" s="62"/>
      <c r="E17" s="62"/>
      <c r="F17" s="63"/>
      <c r="G17" s="64"/>
      <c r="H17" s="65"/>
      <c r="I17" s="65"/>
      <c r="J17" s="65"/>
      <c r="K17" s="66"/>
      <c r="L17" s="67"/>
      <c r="M17" s="65"/>
      <c r="N17" s="112"/>
      <c r="O17" s="113"/>
      <c r="P17" s="66"/>
      <c r="Q17" s="66"/>
      <c r="R17" s="66"/>
      <c r="S17" s="66"/>
      <c r="T17" s="65"/>
      <c r="U17" s="65"/>
      <c r="V17" s="65"/>
      <c r="W17" s="71"/>
      <c r="X17" s="71"/>
      <c r="Y17" s="65"/>
      <c r="Z17" s="65"/>
      <c r="AA17" s="65"/>
      <c r="AB17" s="71"/>
      <c r="AC17" s="72"/>
      <c r="AD17" s="134"/>
      <c r="AE17" s="73"/>
      <c r="AF17" s="73"/>
      <c r="AG17" s="73"/>
      <c r="AH17" s="74"/>
      <c r="AI17" s="75"/>
      <c r="AJ17" s="114"/>
      <c r="AK17" s="77"/>
      <c r="AL17" s="77"/>
      <c r="AM17" s="115"/>
      <c r="AN17" s="116"/>
      <c r="AO17" s="78"/>
      <c r="AP17" s="117"/>
      <c r="AQ17" s="118"/>
      <c r="AR17" s="79"/>
      <c r="AS17" s="119"/>
      <c r="AT17" s="119"/>
      <c r="AU17" s="120"/>
      <c r="AV17" s="120"/>
      <c r="AW17" s="121"/>
      <c r="AX17" s="122"/>
      <c r="AY17" s="83"/>
      <c r="AZ17" s="84"/>
      <c r="BA17" s="64"/>
      <c r="BB17" s="85"/>
      <c r="BC17" s="86"/>
      <c r="BD17" s="87"/>
      <c r="BE17" s="88"/>
      <c r="BF17" s="89"/>
      <c r="BG17" s="90"/>
      <c r="BH17" s="124"/>
      <c r="BI17" s="91"/>
      <c r="BJ17" s="93"/>
      <c r="BK17" s="91"/>
      <c r="BL17" s="93"/>
      <c r="BM17" s="93"/>
      <c r="BN17" s="91"/>
      <c r="BO17" s="91"/>
      <c r="BP17" s="94"/>
      <c r="BQ17" s="95"/>
      <c r="BR17" s="96"/>
      <c r="BS17" s="97"/>
      <c r="BT17" s="97"/>
      <c r="BU17" s="1921"/>
      <c r="BV17" s="99"/>
      <c r="BW17" s="96"/>
      <c r="BX17" s="97"/>
      <c r="BY17" s="100"/>
      <c r="BZ17" s="101"/>
      <c r="CA17" s="102"/>
      <c r="CB17" s="103"/>
      <c r="CC17" s="125"/>
      <c r="CD17" s="105"/>
      <c r="CE17" s="106"/>
      <c r="CF17" s="107"/>
      <c r="CG17" s="108"/>
      <c r="CH17" s="109"/>
      <c r="CI17" s="110"/>
      <c r="CJ17" s="111"/>
      <c r="CK17" s="111"/>
      <c r="CM17" s="111"/>
    </row>
    <row r="18" spans="1:91" ht="30" hidden="1" customHeight="1" outlineLevel="1">
      <c r="A18" s="59"/>
      <c r="B18" s="60"/>
      <c r="C18" s="60"/>
      <c r="D18" s="62"/>
      <c r="E18" s="62"/>
      <c r="F18" s="63"/>
      <c r="G18" s="64"/>
      <c r="H18" s="65"/>
      <c r="I18" s="65"/>
      <c r="J18" s="65"/>
      <c r="K18" s="66"/>
      <c r="L18" s="67"/>
      <c r="M18" s="65"/>
      <c r="N18" s="112"/>
      <c r="O18" s="113"/>
      <c r="P18" s="66"/>
      <c r="Q18" s="66"/>
      <c r="R18" s="66"/>
      <c r="S18" s="65"/>
      <c r="T18" s="65"/>
      <c r="U18" s="65"/>
      <c r="V18" s="65"/>
      <c r="W18" s="71"/>
      <c r="X18" s="71"/>
      <c r="Y18" s="65"/>
      <c r="Z18" s="65"/>
      <c r="AA18" s="65"/>
      <c r="AB18" s="71"/>
      <c r="AC18" s="72"/>
      <c r="AD18" s="134"/>
      <c r="AE18" s="73"/>
      <c r="AF18" s="73"/>
      <c r="AG18" s="73"/>
      <c r="AH18" s="74"/>
      <c r="AI18" s="75"/>
      <c r="AJ18" s="114"/>
      <c r="AK18" s="77"/>
      <c r="AL18" s="77"/>
      <c r="AM18" s="115"/>
      <c r="AN18" s="116"/>
      <c r="AO18" s="78"/>
      <c r="AP18" s="117"/>
      <c r="AQ18" s="118"/>
      <c r="AR18" s="79"/>
      <c r="AS18" s="119"/>
      <c r="AT18" s="119"/>
      <c r="AU18" s="120"/>
      <c r="AV18" s="120"/>
      <c r="AW18" s="121"/>
      <c r="AX18" s="122"/>
      <c r="AY18" s="83" t="s">
        <v>84</v>
      </c>
      <c r="AZ18" s="84"/>
      <c r="BA18" s="64"/>
      <c r="BB18" s="63"/>
      <c r="BC18" s="86"/>
      <c r="BD18" s="87"/>
      <c r="BE18" s="88"/>
      <c r="BF18" s="89"/>
      <c r="BG18" s="126"/>
      <c r="BH18" s="127"/>
      <c r="BI18" s="128"/>
      <c r="BJ18" s="129"/>
      <c r="BK18" s="128"/>
      <c r="BL18" s="129"/>
      <c r="BM18" s="129"/>
      <c r="BN18" s="91"/>
      <c r="BO18" s="91"/>
      <c r="BP18" s="94"/>
      <c r="BQ18" s="95"/>
      <c r="BR18" s="130"/>
      <c r="BS18" s="131"/>
      <c r="BT18" s="131"/>
      <c r="BU18" s="1922"/>
      <c r="BV18" s="99"/>
      <c r="BW18" s="130"/>
      <c r="BX18" s="131"/>
      <c r="BY18" s="131"/>
      <c r="BZ18" s="101"/>
      <c r="CA18" s="133"/>
      <c r="CB18" s="103"/>
      <c r="CC18" s="125"/>
      <c r="CD18" s="105"/>
      <c r="CE18" s="106"/>
      <c r="CF18" s="107"/>
      <c r="CG18" s="108"/>
      <c r="CH18" s="109"/>
      <c r="CI18" s="110"/>
      <c r="CJ18" s="111"/>
      <c r="CK18" s="111"/>
      <c r="CM18" s="111"/>
    </row>
    <row r="19" spans="1:91" ht="30" hidden="1" customHeight="1" outlineLevel="1" collapsed="1">
      <c r="A19" s="148" t="s">
        <v>86</v>
      </c>
      <c r="B19" s="149">
        <f>COUNTIF(A16:A18,$B$1)</f>
        <v>0</v>
      </c>
      <c r="C19" s="150"/>
      <c r="D19" s="151"/>
      <c r="E19" s="151"/>
      <c r="F19" s="151"/>
      <c r="G19" s="152"/>
      <c r="H19" s="160"/>
      <c r="I19" s="152"/>
      <c r="J19" s="152"/>
      <c r="K19" s="152"/>
      <c r="L19" s="153">
        <f>SUMIF(A16:A18,$B$1,L16:L18)</f>
        <v>0</v>
      </c>
      <c r="M19" s="152"/>
      <c r="N19" s="152"/>
      <c r="O19" s="152"/>
      <c r="P19" s="152"/>
      <c r="Q19" s="152"/>
      <c r="R19" s="152"/>
      <c r="S19" s="152"/>
      <c r="T19" s="152"/>
      <c r="U19" s="152"/>
      <c r="V19" s="151"/>
      <c r="W19" s="151"/>
      <c r="X19" s="151"/>
      <c r="Y19" s="152"/>
      <c r="Z19" s="152"/>
      <c r="AA19" s="151"/>
      <c r="AB19" s="151"/>
      <c r="AC19" s="151"/>
      <c r="AD19" s="151"/>
      <c r="AE19" s="219"/>
      <c r="AF19" s="155"/>
      <c r="AG19" s="156"/>
      <c r="AH19" s="152"/>
      <c r="AI19" s="152"/>
      <c r="AJ19" s="156"/>
      <c r="AK19" s="156"/>
      <c r="AL19" s="156"/>
      <c r="AM19" s="152"/>
      <c r="AN19" s="152"/>
      <c r="AO19" s="152">
        <f>COUNTA(AO16:AO18)</f>
        <v>0</v>
      </c>
      <c r="AP19" s="152">
        <f>SUM(AP16:AP18)</f>
        <v>0</v>
      </c>
      <c r="AQ19" s="152">
        <f>SUM(AQ16:AQ18)</f>
        <v>0</v>
      </c>
      <c r="AR19" s="159"/>
      <c r="AS19" s="160"/>
      <c r="AT19" s="152"/>
      <c r="AU19" s="220"/>
      <c r="AV19" s="151"/>
      <c r="AW19" s="151"/>
      <c r="AX19" s="151"/>
      <c r="AY19" s="151"/>
      <c r="AZ19" s="162">
        <f>SUM(AZ16:AZ18)</f>
        <v>0</v>
      </c>
      <c r="BA19" s="162">
        <f>SUM(BA16:BA18)</f>
        <v>0</v>
      </c>
      <c r="BB19" s="163">
        <f>SUM(BB16:BB18)</f>
        <v>0</v>
      </c>
      <c r="BC19" s="221" t="str">
        <f>IF(COUNT(BC16:BC18)=0,"-",AVERAGE(BC16:BC18))</f>
        <v>-</v>
      </c>
      <c r="BD19" s="165"/>
      <c r="BE19" s="222"/>
      <c r="BF19" s="222"/>
      <c r="BG19" s="223"/>
      <c r="BH19" s="223"/>
      <c r="BI19" s="223"/>
      <c r="BJ19" s="223"/>
      <c r="BK19" s="223"/>
      <c r="BL19" s="223"/>
      <c r="BM19" s="223"/>
      <c r="BN19" s="223"/>
      <c r="BO19" s="223"/>
      <c r="BP19" s="163">
        <f>SUM(BP8:BP18)</f>
        <v>0</v>
      </c>
      <c r="BQ19" s="163">
        <f>SUM(BQ8:BQ18)</f>
        <v>0</v>
      </c>
      <c r="BR19" s="168"/>
      <c r="BS19" s="169"/>
      <c r="BT19" s="169"/>
      <c r="BU19" s="170"/>
      <c r="BV19" s="170"/>
      <c r="BW19" s="168"/>
      <c r="BX19" s="169"/>
      <c r="BY19" s="169"/>
      <c r="BZ19" s="224"/>
      <c r="CA19" s="172"/>
      <c r="CB19" s="173">
        <f>AO19</f>
        <v>0</v>
      </c>
      <c r="CC19" s="173">
        <f>COUNTIF(CC16:CC18,"=0")</f>
        <v>0</v>
      </c>
      <c r="CD19" s="174">
        <f>SUM(COUNTIF(CC16:CC18,"&lt;0"),COUNTIF(CC16:CC18,"&gt;0"))</f>
        <v>0</v>
      </c>
      <c r="CE19" s="225">
        <f>COUNTIF(CE8:CE12,"1")</f>
        <v>0</v>
      </c>
      <c r="CF19" s="226">
        <f>SUM(CF8:CF12)</f>
        <v>0</v>
      </c>
      <c r="CG19" s="227">
        <f>COUNTIF(CG8:CG18,"1")</f>
        <v>0</v>
      </c>
      <c r="CH19" s="228">
        <f>SUM(CH8:CH18)</f>
        <v>0</v>
      </c>
      <c r="CI19" s="178"/>
      <c r="CJ19" s="111"/>
      <c r="CK19" s="111"/>
    </row>
    <row r="20" spans="1:91" ht="30" hidden="1" customHeight="1" outlineLevel="1">
      <c r="A20" s="179" t="s">
        <v>89</v>
      </c>
      <c r="B20" s="180">
        <f>COUNTA(A16:A18)</f>
        <v>0</v>
      </c>
      <c r="C20" s="181"/>
      <c r="D20" s="182"/>
      <c r="E20" s="182"/>
      <c r="F20" s="182"/>
      <c r="G20" s="183"/>
      <c r="H20" s="184">
        <f>SUM(H19,H14)</f>
        <v>162</v>
      </c>
      <c r="I20" s="184">
        <f>SUM(I19,I14)</f>
        <v>0</v>
      </c>
      <c r="J20" s="184">
        <f>SUM(J19,J14)</f>
        <v>1768</v>
      </c>
      <c r="K20" s="184"/>
      <c r="L20" s="184"/>
      <c r="M20" s="184"/>
      <c r="N20" s="184"/>
      <c r="O20" s="184"/>
      <c r="P20" s="184"/>
      <c r="Q20" s="184"/>
      <c r="R20" s="184"/>
      <c r="S20" s="185"/>
      <c r="T20" s="183"/>
      <c r="U20" s="185"/>
      <c r="V20" s="182"/>
      <c r="W20" s="182"/>
      <c r="X20" s="182"/>
      <c r="Y20" s="183"/>
      <c r="Z20" s="185"/>
      <c r="AA20" s="182"/>
      <c r="AB20" s="182"/>
      <c r="AC20" s="182"/>
      <c r="AD20" s="182"/>
      <c r="AE20" s="186"/>
      <c r="AF20" s="186"/>
      <c r="AG20" s="186"/>
      <c r="AH20" s="184"/>
      <c r="AI20" s="184"/>
      <c r="AJ20" s="186"/>
      <c r="AK20" s="186"/>
      <c r="AL20" s="186"/>
      <c r="AM20" s="184"/>
      <c r="AN20" s="184"/>
      <c r="AO20" s="184">
        <f>SUM(AO13,AO19)</f>
        <v>2</v>
      </c>
      <c r="AP20" s="184">
        <f>SUM(AP13,AP19)</f>
        <v>155</v>
      </c>
      <c r="AQ20" s="184"/>
      <c r="AR20" s="182"/>
      <c r="AS20" s="182"/>
      <c r="AT20" s="182"/>
      <c r="AU20" s="187"/>
      <c r="AV20" s="182"/>
      <c r="AW20" s="182"/>
      <c r="AX20" s="182"/>
      <c r="AY20" s="182"/>
      <c r="AZ20" s="184">
        <f>SUM(AZ19,AZ13)</f>
        <v>155</v>
      </c>
      <c r="BA20" s="184">
        <f>SUM(BA19,BA13)</f>
        <v>1834</v>
      </c>
      <c r="BB20" s="182">
        <f>SUM(BB19,BB13)</f>
        <v>-7</v>
      </c>
      <c r="BC20" s="229">
        <f>IF(COUNT(BC16:BC18,BC8:BC12)=0,"-",AVERAGE(BC16:BC18,BC8:BC12))</f>
        <v>0.95625000000000004</v>
      </c>
      <c r="BD20" s="191"/>
      <c r="BE20" s="189"/>
      <c r="BF20" s="189"/>
      <c r="BG20" s="190"/>
      <c r="BH20" s="190"/>
      <c r="BI20" s="190"/>
      <c r="BJ20" s="190"/>
      <c r="BK20" s="190"/>
      <c r="BL20" s="190"/>
      <c r="BM20" s="190"/>
      <c r="BN20" s="190"/>
      <c r="BO20" s="190"/>
      <c r="BP20" s="230"/>
      <c r="BQ20" s="230"/>
      <c r="BR20" s="231"/>
      <c r="BS20" s="232"/>
      <c r="BT20" s="232"/>
      <c r="BU20" s="233"/>
      <c r="BV20" s="233"/>
      <c r="BW20" s="231"/>
      <c r="BX20" s="232"/>
      <c r="BY20" s="232"/>
      <c r="BZ20" s="234"/>
      <c r="CA20" s="235"/>
      <c r="CB20" s="197">
        <f>SUM(CB16:CB18)</f>
        <v>0</v>
      </c>
      <c r="CC20" s="197">
        <f>SUMIF(CC16:CC18,"=0",CD16:CD18)</f>
        <v>0</v>
      </c>
      <c r="CD20" s="198">
        <f>SUMIF(CC16:CC18,"&lt;&gt;0",CD16:CD18)</f>
        <v>0</v>
      </c>
      <c r="CE20" s="236"/>
      <c r="CF20" s="230"/>
      <c r="CG20" s="230"/>
      <c r="CH20" s="237"/>
      <c r="CI20" s="202"/>
      <c r="CK20" s="238"/>
    </row>
    <row r="21" spans="1:91" ht="39" hidden="1" customHeight="1" outlineLevel="1">
      <c r="A21" s="2144" t="s">
        <v>261</v>
      </c>
      <c r="B21" s="2144"/>
      <c r="C21" s="2144"/>
      <c r="D21" s="2144"/>
      <c r="E21" s="2144"/>
      <c r="F21" s="2144"/>
      <c r="G21" s="239"/>
      <c r="H21" s="239"/>
      <c r="I21" s="239"/>
      <c r="J21" s="239"/>
      <c r="K21" s="239"/>
      <c r="L21" s="239"/>
      <c r="M21" s="239"/>
      <c r="N21" s="239"/>
      <c r="O21" s="239"/>
      <c r="P21" s="239"/>
      <c r="Q21" s="239"/>
      <c r="R21" s="239"/>
      <c r="S21" s="239"/>
      <c r="T21" s="239"/>
      <c r="U21" s="239"/>
      <c r="V21" s="239"/>
      <c r="W21" s="239"/>
      <c r="X21" s="239"/>
      <c r="Y21" s="239"/>
      <c r="Z21" s="239"/>
      <c r="AA21" s="239"/>
      <c r="AB21" s="239"/>
      <c r="AC21" s="239"/>
      <c r="AD21" s="1844"/>
      <c r="AE21" s="239"/>
      <c r="AF21" s="239"/>
      <c r="AG21" s="239"/>
      <c r="AH21" s="239"/>
      <c r="AI21" s="239"/>
      <c r="AJ21" s="239"/>
      <c r="AK21" s="239"/>
      <c r="AL21" s="239"/>
      <c r="AM21" s="239"/>
      <c r="AN21" s="239"/>
      <c r="AO21" s="239"/>
      <c r="AP21" s="239"/>
      <c r="AQ21" s="239"/>
      <c r="AR21" s="239"/>
      <c r="AS21" s="239"/>
      <c r="AT21" s="239"/>
      <c r="AU21" s="239"/>
      <c r="AV21" s="239"/>
      <c r="AW21" s="239"/>
      <c r="AX21" s="239"/>
      <c r="AY21" s="239"/>
      <c r="AZ21" s="239"/>
      <c r="BA21" s="239"/>
      <c r="BB21" s="239"/>
      <c r="BC21" s="239"/>
      <c r="BD21" s="240"/>
      <c r="BE21" s="240"/>
      <c r="BF21" s="241"/>
      <c r="BG21" s="242"/>
      <c r="BH21" s="242"/>
      <c r="BI21" s="242"/>
      <c r="BJ21" s="242"/>
      <c r="BK21" s="242"/>
      <c r="BL21" s="242"/>
      <c r="BM21" s="242"/>
      <c r="BN21" s="242"/>
      <c r="BO21" s="242"/>
      <c r="BP21" s="243"/>
      <c r="BQ21" s="244"/>
      <c r="BR21" s="130"/>
      <c r="BS21" s="131"/>
      <c r="BT21" s="131"/>
      <c r="BU21" s="99"/>
      <c r="BV21" s="99"/>
      <c r="BW21" s="130"/>
      <c r="BX21" s="131"/>
      <c r="BY21" s="131"/>
      <c r="BZ21" s="52"/>
      <c r="CA21" s="53"/>
      <c r="CB21" s="53"/>
      <c r="CC21" s="53"/>
      <c r="CD21" s="206"/>
      <c r="CE21" s="245"/>
      <c r="CF21" s="53"/>
      <c r="CG21" s="53"/>
      <c r="CH21" s="53"/>
      <c r="CI21" s="246"/>
    </row>
    <row r="22" spans="1:91" ht="33" hidden="1" customHeight="1" outlineLevel="1">
      <c r="A22" s="59"/>
      <c r="B22" s="247"/>
      <c r="C22" s="247"/>
      <c r="D22" s="612"/>
      <c r="E22" s="62"/>
      <c r="F22" s="247"/>
      <c r="G22" s="64">
        <f>M22</f>
        <v>0</v>
      </c>
      <c r="H22" s="65">
        <f>M22-T22</f>
        <v>0</v>
      </c>
      <c r="I22" s="65">
        <f>IF($B$2&gt;=A22,($B$2-A22+1)*H22,"-")</f>
        <v>0</v>
      </c>
      <c r="J22" s="65">
        <f>($A$2-A22+1)*H22</f>
        <v>0</v>
      </c>
      <c r="K22" s="271"/>
      <c r="L22" s="67">
        <f ca="1">IF((AE22)&lt;$L$2-DAY($L$2)+1,H22,H22+T22)</f>
        <v>0</v>
      </c>
      <c r="M22" s="68"/>
      <c r="N22" s="68"/>
      <c r="O22" s="372"/>
      <c r="P22" s="70"/>
      <c r="Q22" s="70"/>
      <c r="R22" s="70"/>
      <c r="S22" s="66"/>
      <c r="T22" s="64"/>
      <c r="U22" s="70"/>
      <c r="V22" s="372"/>
      <c r="W22" s="70"/>
      <c r="X22" s="70"/>
      <c r="Y22" s="64"/>
      <c r="Z22" s="70"/>
      <c r="AA22" s="372"/>
      <c r="AB22" s="70"/>
      <c r="AC22" s="251"/>
      <c r="AD22" s="134" t="s">
        <v>260</v>
      </c>
      <c r="AE22" s="319"/>
      <c r="AF22" s="288"/>
      <c r="AG22" s="454"/>
      <c r="AH22" s="74"/>
      <c r="AI22" s="75" t="str">
        <f>IF(T22="","",AH22*T22)</f>
        <v/>
      </c>
      <c r="AJ22" s="276"/>
      <c r="AK22" s="276"/>
      <c r="AL22" s="288">
        <f>AK22</f>
        <v>0</v>
      </c>
      <c r="AM22" s="74"/>
      <c r="AN22" s="75"/>
      <c r="AO22" s="78"/>
      <c r="AP22" s="74"/>
      <c r="AQ22" s="256"/>
      <c r="AR22" s="257"/>
      <c r="AS22" s="80"/>
      <c r="AT22" s="247"/>
      <c r="AU22" s="68"/>
      <c r="AV22" s="68"/>
      <c r="AW22" s="68"/>
      <c r="AX22" s="258"/>
      <c r="AY22" s="83" t="s">
        <v>84</v>
      </c>
      <c r="AZ22" s="311" t="str">
        <f>IF(AP22&lt;1,"-",AP22-Y22)</f>
        <v>-</v>
      </c>
      <c r="BA22" s="64" t="str">
        <f>IF(AZ22="-","-",($B$2-AO22+1)*AZ22)</f>
        <v>-</v>
      </c>
      <c r="BB22" s="63" t="str">
        <f>IF(AZ22="-","-",AZ22-H22)</f>
        <v>-</v>
      </c>
      <c r="BC22" s="86" t="str">
        <f>IF(AZ22="-","-",AZ22/H22)</f>
        <v>-</v>
      </c>
      <c r="BD22" s="139">
        <f>IF(AP22&lt;1,IF($B$2&gt;=A22,($A$2-A22+1)*-1*H22,"-"),AZ22*($A$2-AO22+1)-H22*($A$2-A22+1))</f>
        <v>0</v>
      </c>
      <c r="BE22" s="511"/>
      <c r="BF22" s="703"/>
      <c r="BG22" s="716"/>
      <c r="BH22" s="91"/>
      <c r="BI22" s="91"/>
      <c r="BJ22" s="93"/>
      <c r="BK22" s="748"/>
      <c r="BL22" s="748"/>
      <c r="BM22" s="748"/>
      <c r="BN22" s="91" t="str">
        <f>IF(BH22=0,"-",BH22-AP22)</f>
        <v>-</v>
      </c>
      <c r="BO22" s="91" t="str">
        <f>IF(BI22=0,"-",BI22-AQ22)</f>
        <v>-</v>
      </c>
      <c r="BP22" s="94" t="str">
        <f>IF(BN22="-","-",AZ22+BN22)</f>
        <v>-</v>
      </c>
      <c r="BQ22" s="95" t="str">
        <f>IF(BN22="-","-",(($B$2-AO22+1)*(AZ22+BN22)))</f>
        <v>-</v>
      </c>
      <c r="BR22" s="315"/>
      <c r="BS22" s="214"/>
      <c r="BT22" s="131"/>
      <c r="BU22" s="1923"/>
      <c r="BV22" s="99"/>
      <c r="BW22" s="215"/>
      <c r="BX22" s="214"/>
      <c r="BY22" s="621"/>
      <c r="BZ22" s="101"/>
      <c r="CA22" s="102"/>
      <c r="CB22" s="103" t="e">
        <f>($D$1-AL22)*AZ22</f>
        <v>#VALUE!</v>
      </c>
      <c r="CC22" s="104">
        <f>IF(AO22&gt;0,"-",(AG22-CA22))</f>
        <v>0</v>
      </c>
      <c r="CD22" s="105">
        <f>IF(AO22&gt;0,"-",(($D$1-CA22)*H22))</f>
        <v>0</v>
      </c>
      <c r="CE22" s="718"/>
      <c r="CF22" s="719"/>
      <c r="CG22" s="719"/>
      <c r="CH22" s="720"/>
      <c r="CI22" s="721" t="s">
        <v>130</v>
      </c>
      <c r="CJ22" s="111"/>
      <c r="CK22" s="111"/>
    </row>
    <row r="23" spans="1:91" ht="33" hidden="1" customHeight="1" outlineLevel="1">
      <c r="A23" s="310"/>
      <c r="B23" s="247"/>
      <c r="C23" s="247"/>
      <c r="D23" s="62"/>
      <c r="E23" s="62"/>
      <c r="F23" s="247"/>
      <c r="G23" s="80"/>
      <c r="H23" s="80"/>
      <c r="I23" s="80"/>
      <c r="J23" s="80"/>
      <c r="K23" s="271"/>
      <c r="L23" s="80"/>
      <c r="M23" s="252"/>
      <c r="N23" s="252"/>
      <c r="O23" s="69"/>
      <c r="P23" s="71"/>
      <c r="Q23" s="71"/>
      <c r="R23" s="71"/>
      <c r="S23" s="66"/>
      <c r="T23" s="630"/>
      <c r="U23" s="631"/>
      <c r="V23" s="69"/>
      <c r="W23" s="635"/>
      <c r="X23" s="635"/>
      <c r="Y23" s="630"/>
      <c r="Z23" s="631"/>
      <c r="AA23" s="372"/>
      <c r="AB23" s="635"/>
      <c r="AC23" s="537"/>
      <c r="AD23" s="274"/>
      <c r="AE23" s="253"/>
      <c r="AF23" s="135"/>
      <c r="AG23" s="454"/>
      <c r="AH23" s="74"/>
      <c r="AI23" s="75"/>
      <c r="AJ23" s="276"/>
      <c r="AK23" s="77"/>
      <c r="AL23" s="288"/>
      <c r="AM23" s="74"/>
      <c r="AN23" s="75"/>
      <c r="AO23" s="78"/>
      <c r="AP23" s="74"/>
      <c r="AQ23" s="63"/>
      <c r="AR23" s="257"/>
      <c r="AS23" s="80"/>
      <c r="AT23" s="68"/>
      <c r="AU23" s="68"/>
      <c r="AV23" s="68"/>
      <c r="AW23" s="68"/>
      <c r="AX23" s="258"/>
      <c r="AY23" s="83"/>
      <c r="AZ23" s="311"/>
      <c r="BA23" s="64"/>
      <c r="BB23" s="63"/>
      <c r="BC23" s="86"/>
      <c r="BD23" s="139"/>
      <c r="BE23" s="511"/>
      <c r="BF23" s="703"/>
      <c r="BG23" s="841"/>
      <c r="BH23" s="93"/>
      <c r="BI23" s="91"/>
      <c r="BJ23" s="93"/>
      <c r="BK23" s="748"/>
      <c r="BL23" s="748"/>
      <c r="BM23" s="748"/>
      <c r="BN23" s="91"/>
      <c r="BO23" s="91"/>
      <c r="BP23" s="94"/>
      <c r="BQ23" s="95"/>
      <c r="BR23" s="315"/>
      <c r="BS23" s="214"/>
      <c r="BT23" s="131"/>
      <c r="BU23" s="1923"/>
      <c r="BV23" s="99"/>
      <c r="BW23" s="215"/>
      <c r="BX23" s="214"/>
      <c r="BY23" s="621"/>
      <c r="BZ23" s="101" t="e">
        <f>NA()</f>
        <v>#N/A</v>
      </c>
      <c r="CA23" s="102" t="e">
        <f>NA()</f>
        <v>#N/A</v>
      </c>
      <c r="CB23" s="103">
        <f>($D$1-AL23)*AZ23</f>
        <v>0</v>
      </c>
      <c r="CC23" s="104" t="e">
        <f>IF(AO23&gt;0,"-",(AG23-CA23))</f>
        <v>#N/A</v>
      </c>
      <c r="CD23" s="105" t="e">
        <f>IF(AO23&gt;0,"-",(($D$1-CA23)*H23))</f>
        <v>#N/A</v>
      </c>
      <c r="CE23" s="718"/>
      <c r="CF23" s="719"/>
      <c r="CG23" s="719"/>
      <c r="CH23" s="720"/>
      <c r="CI23" s="721" t="s">
        <v>130</v>
      </c>
      <c r="CJ23" s="111"/>
      <c r="CK23" s="111"/>
    </row>
    <row r="24" spans="1:91" ht="30" hidden="1" customHeight="1" outlineLevel="1">
      <c r="A24" s="59"/>
      <c r="B24" s="270"/>
      <c r="C24" s="270"/>
      <c r="D24" s="248"/>
      <c r="E24" s="62"/>
      <c r="F24" s="270"/>
      <c r="G24" s="64"/>
      <c r="H24" s="80"/>
      <c r="I24" s="80"/>
      <c r="J24" s="80"/>
      <c r="K24" s="271"/>
      <c r="L24" s="67"/>
      <c r="M24" s="252"/>
      <c r="N24" s="252"/>
      <c r="O24" s="250"/>
      <c r="P24" s="70"/>
      <c r="Q24" s="70"/>
      <c r="R24" s="71"/>
      <c r="S24" s="273"/>
      <c r="T24" s="85"/>
      <c r="U24" s="71"/>
      <c r="V24" s="71"/>
      <c r="W24" s="71"/>
      <c r="X24" s="71"/>
      <c r="Y24" s="85"/>
      <c r="Z24" s="71"/>
      <c r="AA24" s="71"/>
      <c r="AB24" s="1742"/>
      <c r="AC24" s="537"/>
      <c r="AD24" s="274"/>
      <c r="AE24" s="73"/>
      <c r="AF24" s="275"/>
      <c r="AG24" s="135"/>
      <c r="AH24" s="252"/>
      <c r="AI24" s="1738"/>
      <c r="AJ24" s="1741"/>
      <c r="AK24" s="1739"/>
      <c r="AL24" s="1740"/>
      <c r="AM24" s="74"/>
      <c r="AN24" s="75"/>
      <c r="AO24" s="78"/>
      <c r="AP24" s="74"/>
      <c r="AQ24" s="256"/>
      <c r="AR24" s="257"/>
      <c r="AS24" s="112"/>
      <c r="AT24" s="270"/>
      <c r="AU24" s="270"/>
      <c r="AV24" s="270"/>
      <c r="AW24" s="252"/>
      <c r="AX24" s="286"/>
      <c r="AY24" s="83" t="s">
        <v>84</v>
      </c>
      <c r="AZ24" s="84" t="str">
        <f>IF(AP24&lt;1,"-",AP24)</f>
        <v>-</v>
      </c>
      <c r="BA24" s="64" t="str">
        <f>IF(AZ24="-","-",($B$2-AO24+1)*AZ24)</f>
        <v>-</v>
      </c>
      <c r="BB24" s="85" t="str">
        <f>IF(AZ24="-","-",AZ24-H24)</f>
        <v>-</v>
      </c>
      <c r="BC24" s="86"/>
      <c r="BD24" s="139"/>
      <c r="BE24" s="259"/>
      <c r="BF24" s="278"/>
      <c r="BG24" s="279"/>
      <c r="BH24" s="280"/>
      <c r="BI24" s="123"/>
      <c r="BJ24" s="123"/>
      <c r="BK24" s="123"/>
      <c r="BL24" s="123"/>
      <c r="BM24" s="123"/>
      <c r="BN24" s="281"/>
      <c r="BO24" s="282"/>
      <c r="BP24" s="283"/>
      <c r="BQ24" s="264"/>
      <c r="BR24" s="207"/>
      <c r="BS24" s="208"/>
      <c r="BT24" s="208"/>
      <c r="BU24" s="267"/>
      <c r="BV24" s="99" t="str">
        <f>IF(AO24&lt;1,"",(AO24))</f>
        <v/>
      </c>
      <c r="BW24" s="284"/>
      <c r="BX24" s="132"/>
      <c r="BY24" s="132"/>
      <c r="BZ24" s="101"/>
      <c r="CA24" s="102"/>
      <c r="CB24" s="103"/>
      <c r="CC24" s="104"/>
      <c r="CD24" s="105"/>
      <c r="CE24" s="216"/>
      <c r="CF24" s="268"/>
      <c r="CG24" s="216"/>
      <c r="CH24" s="268"/>
      <c r="CI24" s="269"/>
    </row>
    <row r="25" spans="1:91" ht="30" hidden="1" customHeight="1" outlineLevel="1">
      <c r="A25" s="59"/>
      <c r="B25" s="270"/>
      <c r="C25" s="270"/>
      <c r="D25" s="62"/>
      <c r="E25" s="62"/>
      <c r="F25" s="270"/>
      <c r="G25" s="65"/>
      <c r="H25" s="65"/>
      <c r="I25" s="63"/>
      <c r="J25" s="65"/>
      <c r="K25" s="270"/>
      <c r="L25" s="270"/>
      <c r="M25" s="285"/>
      <c r="N25" s="285"/>
      <c r="O25" s="287"/>
      <c r="P25" s="71"/>
      <c r="Q25" s="71"/>
      <c r="R25" s="71"/>
      <c r="S25" s="71"/>
      <c r="T25" s="85"/>
      <c r="U25" s="71"/>
      <c r="V25" s="71"/>
      <c r="W25" s="71"/>
      <c r="X25" s="71"/>
      <c r="Y25" s="85"/>
      <c r="Z25" s="71"/>
      <c r="AA25" s="71"/>
      <c r="AB25" s="71"/>
      <c r="AC25" s="72"/>
      <c r="AD25" s="274"/>
      <c r="AE25" s="276"/>
      <c r="AF25" s="77"/>
      <c r="AG25" s="288"/>
      <c r="AH25" s="74"/>
      <c r="AI25" s="75"/>
      <c r="AJ25" s="77"/>
      <c r="AK25" s="77"/>
      <c r="AL25" s="77"/>
      <c r="AM25" s="74"/>
      <c r="AN25" s="75"/>
      <c r="AO25" s="78"/>
      <c r="AP25" s="289"/>
      <c r="AQ25" s="256"/>
      <c r="AR25" s="74"/>
      <c r="AS25" s="66"/>
      <c r="AT25" s="270"/>
      <c r="AU25" s="270"/>
      <c r="AV25" s="270"/>
      <c r="AW25" s="270"/>
      <c r="AX25" s="290"/>
      <c r="AY25" s="83" t="s">
        <v>85</v>
      </c>
      <c r="AZ25" s="277" t="str">
        <f>IF(AP25&lt;1,"-",AP25)</f>
        <v>-</v>
      </c>
      <c r="BA25" s="250" t="str">
        <f>IF(AZ25="-","-",($B$2-AO25+1)*AZ25)</f>
        <v>-</v>
      </c>
      <c r="BB25" s="85" t="str">
        <f>IF(AZ25="-","-",AZ25-H25)</f>
        <v>-</v>
      </c>
      <c r="BC25" s="85" t="str">
        <f>IF(AZ25="-","-",AZ25/H25)</f>
        <v>-</v>
      </c>
      <c r="BD25" s="139">
        <f>IF(AP25&lt;1,IF($B$2&gt;=A25,($A$2-A25+1)*-1*H25,"-"),AZ25*($A$2-AO25+1)-H25*($A$2-A25+1))</f>
        <v>0</v>
      </c>
      <c r="BE25" s="291"/>
      <c r="BF25" s="292"/>
      <c r="BG25" s="293"/>
      <c r="BH25" s="293"/>
      <c r="BI25" s="293"/>
      <c r="BJ25" s="293"/>
      <c r="BK25" s="293"/>
      <c r="BL25" s="293"/>
      <c r="BM25" s="293"/>
      <c r="BN25" s="293"/>
      <c r="BO25" s="293"/>
      <c r="BP25" s="294"/>
      <c r="BQ25" s="47"/>
      <c r="BR25" s="130"/>
      <c r="BS25" s="131"/>
      <c r="BT25" s="131"/>
      <c r="BU25" s="99"/>
      <c r="BV25" s="99"/>
      <c r="BW25" s="130"/>
      <c r="BX25" s="131"/>
      <c r="BY25" s="131"/>
      <c r="BZ25" s="101"/>
      <c r="CA25" s="102"/>
      <c r="CB25" s="103"/>
      <c r="CC25" s="104"/>
      <c r="CD25" s="105"/>
      <c r="CE25" s="131"/>
      <c r="CF25" s="53"/>
      <c r="CG25" s="53"/>
      <c r="CH25" s="53"/>
      <c r="CI25" s="295"/>
    </row>
    <row r="26" spans="1:91" ht="30" hidden="1" customHeight="1" outlineLevel="1" collapsed="1">
      <c r="A26" s="148" t="s">
        <v>86</v>
      </c>
      <c r="B26" s="149">
        <f>COUNTIF(A22:A25,$B$1)</f>
        <v>0</v>
      </c>
      <c r="C26" s="150"/>
      <c r="D26" s="151"/>
      <c r="E26" s="151"/>
      <c r="F26" s="151"/>
      <c r="G26" s="152"/>
      <c r="H26" s="152">
        <f>SUMIF(A22:A25,$B$1,H22:H25)</f>
        <v>0</v>
      </c>
      <c r="I26" s="152">
        <f>SUM(I22:I25)</f>
        <v>0</v>
      </c>
      <c r="J26" s="152"/>
      <c r="K26" s="152"/>
      <c r="L26" s="153">
        <f>SUMIF(A22:A25,$B$1,L22:L25)</f>
        <v>0</v>
      </c>
      <c r="M26" s="152"/>
      <c r="N26" s="152"/>
      <c r="O26" s="152"/>
      <c r="P26" s="152"/>
      <c r="Q26" s="152"/>
      <c r="R26" s="152"/>
      <c r="S26" s="152"/>
      <c r="T26" s="152">
        <f>SUMIF(A22:A25,$B$1,T22:T25)</f>
        <v>0</v>
      </c>
      <c r="U26" s="152">
        <f>SUMIF(A22:A25,$B$1,U22:U25)</f>
        <v>0</v>
      </c>
      <c r="V26" s="151"/>
      <c r="W26" s="151"/>
      <c r="X26" s="151"/>
      <c r="Y26" s="152">
        <f>SUMIF(G22:G25,$B$1,Y22:Y25)</f>
        <v>0</v>
      </c>
      <c r="Z26" s="152">
        <f>SUMIF(G22:G25,$B$1,Z22:Z25)</f>
        <v>0</v>
      </c>
      <c r="AA26" s="151"/>
      <c r="AB26" s="151"/>
      <c r="AC26" s="151"/>
      <c r="AD26" s="151"/>
      <c r="AE26" s="154"/>
      <c r="AF26" s="155"/>
      <c r="AG26" s="156"/>
      <c r="AH26" s="152"/>
      <c r="AI26" s="157"/>
      <c r="AJ26" s="296"/>
      <c r="AK26" s="156"/>
      <c r="AL26" s="156"/>
      <c r="AM26" s="152"/>
      <c r="AN26" s="157"/>
      <c r="AO26" s="297">
        <f>COUNTA(AO22:AO25)</f>
        <v>0</v>
      </c>
      <c r="AP26" s="152">
        <f>SUM(AP22:AP25)</f>
        <v>0</v>
      </c>
      <c r="AQ26" s="152">
        <f>SUM(AQ22:AQ25)</f>
        <v>0</v>
      </c>
      <c r="AR26" s="161"/>
      <c r="AS26" s="151"/>
      <c r="AT26" s="151"/>
      <c r="AU26" s="151"/>
      <c r="AV26" s="151"/>
      <c r="AW26" s="151"/>
      <c r="AX26" s="151"/>
      <c r="AY26" s="151"/>
      <c r="AZ26" s="163">
        <f>SUM(AZ22:AZ25)</f>
        <v>0</v>
      </c>
      <c r="BA26" s="163">
        <f>SUM(BA22:BA25)</f>
        <v>0</v>
      </c>
      <c r="BB26" s="163">
        <f>SUM(BB22:BB25)</f>
        <v>0</v>
      </c>
      <c r="BC26" s="221" t="str">
        <f>IF(COUNT(BC22:BC25)=0,"-",AVERAGE(BC22:BC25))</f>
        <v>-</v>
      </c>
      <c r="BD26" s="165"/>
      <c r="BE26" s="298"/>
      <c r="BF26" s="299"/>
      <c r="BG26" s="300"/>
      <c r="BH26" s="300"/>
      <c r="BI26" s="300"/>
      <c r="BJ26" s="300"/>
      <c r="BK26" s="300"/>
      <c r="BL26" s="300"/>
      <c r="BM26" s="300"/>
      <c r="BN26" s="300"/>
      <c r="BO26" s="300"/>
      <c r="BP26" s="301"/>
      <c r="BQ26" s="302"/>
      <c r="BR26" s="130"/>
      <c r="BS26" s="131"/>
      <c r="BT26" s="131"/>
      <c r="BU26" s="99"/>
      <c r="BV26" s="99"/>
      <c r="BW26" s="130"/>
      <c r="BX26" s="131"/>
      <c r="BY26" s="131"/>
      <c r="BZ26" s="52"/>
      <c r="CA26" s="53"/>
      <c r="CB26" s="173">
        <f>AO26</f>
        <v>0</v>
      </c>
      <c r="CC26" s="173">
        <f>COUNTIF(CC22:CC25,"=0")</f>
        <v>1</v>
      </c>
      <c r="CD26" s="174">
        <f>SUM(COUNTIF(CC22:CC25,"&lt;0"),COUNTIF(CC22:CC25,"&gt;0"))</f>
        <v>0</v>
      </c>
      <c r="CE26" s="303"/>
      <c r="CF26" s="53"/>
      <c r="CG26" s="53"/>
      <c r="CH26" s="53"/>
      <c r="CI26" s="178"/>
    </row>
    <row r="27" spans="1:91" ht="30" hidden="1" customHeight="1" outlineLevel="1">
      <c r="A27" s="179" t="s">
        <v>87</v>
      </c>
      <c r="B27" s="180">
        <f>COUNT(A22:A25)</f>
        <v>0</v>
      </c>
      <c r="C27" s="181"/>
      <c r="D27" s="182"/>
      <c r="E27" s="182"/>
      <c r="F27" s="182"/>
      <c r="G27" s="184"/>
      <c r="H27" s="184">
        <f>SUM(H22:H25)</f>
        <v>0</v>
      </c>
      <c r="I27" s="184"/>
      <c r="J27" s="184">
        <f>SUM(J22:J25)</f>
        <v>0</v>
      </c>
      <c r="K27" s="184"/>
      <c r="L27" s="184"/>
      <c r="M27" s="184"/>
      <c r="N27" s="184"/>
      <c r="O27" s="184"/>
      <c r="P27" s="184"/>
      <c r="Q27" s="184"/>
      <c r="R27" s="184"/>
      <c r="S27" s="185"/>
      <c r="T27" s="187"/>
      <c r="U27" s="185"/>
      <c r="V27" s="182"/>
      <c r="W27" s="182"/>
      <c r="X27" s="182"/>
      <c r="Y27" s="187"/>
      <c r="Z27" s="185"/>
      <c r="AA27" s="182"/>
      <c r="AB27" s="182"/>
      <c r="AC27" s="182"/>
      <c r="AD27" s="182"/>
      <c r="AE27" s="186"/>
      <c r="AF27" s="186"/>
      <c r="AG27" s="186"/>
      <c r="AH27" s="184"/>
      <c r="AI27" s="184">
        <f>SUM(AI22:AI25)</f>
        <v>0</v>
      </c>
      <c r="AJ27" s="186"/>
      <c r="AK27" s="186"/>
      <c r="AL27" s="186"/>
      <c r="AM27" s="184"/>
      <c r="AN27" s="184">
        <f>SUM(AN22:AN25)</f>
        <v>0</v>
      </c>
      <c r="AO27" s="184"/>
      <c r="AP27" s="182"/>
      <c r="AQ27" s="182"/>
      <c r="AR27" s="187"/>
      <c r="AS27" s="182"/>
      <c r="AT27" s="182"/>
      <c r="AU27" s="182"/>
      <c r="AV27" s="182"/>
      <c r="AW27" s="182"/>
      <c r="AX27" s="182"/>
      <c r="AY27" s="182"/>
      <c r="AZ27" s="190"/>
      <c r="BA27" s="190"/>
      <c r="BB27" s="190"/>
      <c r="BC27" s="304"/>
      <c r="BD27" s="305">
        <f>SUM(BD22:BD25)</f>
        <v>0</v>
      </c>
      <c r="BE27" s="306"/>
      <c r="BF27" s="306"/>
      <c r="BG27" s="307"/>
      <c r="BH27" s="307"/>
      <c r="BI27" s="307"/>
      <c r="BJ27" s="307"/>
      <c r="BK27" s="307"/>
      <c r="BL27" s="307"/>
      <c r="BM27" s="307"/>
      <c r="BN27" s="307"/>
      <c r="BO27" s="307"/>
      <c r="BP27" s="308"/>
      <c r="BQ27" s="237"/>
      <c r="BR27" s="130"/>
      <c r="BS27" s="131"/>
      <c r="BT27" s="131"/>
      <c r="BU27" s="99"/>
      <c r="BV27" s="99"/>
      <c r="BW27" s="130"/>
      <c r="BX27" s="131"/>
      <c r="BY27" s="131"/>
      <c r="BZ27" s="52"/>
      <c r="CA27" s="53"/>
      <c r="CB27" s="197" t="e">
        <f>SUM(CB22:CB25)</f>
        <v>#VALUE!</v>
      </c>
      <c r="CC27" s="197">
        <f>SUMIF(CC22:CC25,"=0",CD22:CD25)</f>
        <v>0</v>
      </c>
      <c r="CD27" s="198" t="e">
        <f>SUMIF(CC22:CC25,"&lt;&gt;0",CD22:CD25)</f>
        <v>#N/A</v>
      </c>
      <c r="CE27" s="303"/>
      <c r="CF27" s="53"/>
      <c r="CG27" s="53"/>
      <c r="CH27" s="53"/>
      <c r="CI27" s="202"/>
    </row>
    <row r="28" spans="1:91" ht="23.25" hidden="1" customHeight="1" outlineLevel="1" collapsed="1">
      <c r="A28" s="2144" t="s">
        <v>255</v>
      </c>
      <c r="B28" s="2144"/>
      <c r="C28" s="2144"/>
      <c r="D28" s="2144"/>
      <c r="E28" s="2144"/>
      <c r="F28" s="21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3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5"/>
      <c r="BE28" s="45"/>
      <c r="BF28" s="241"/>
      <c r="BG28" s="241"/>
      <c r="BH28" s="241"/>
      <c r="BI28" s="241"/>
      <c r="BJ28" s="241"/>
      <c r="BK28" s="241"/>
      <c r="BL28" s="241"/>
      <c r="BM28" s="241"/>
      <c r="BN28" s="241"/>
      <c r="BO28" s="241"/>
      <c r="BP28" s="294"/>
      <c r="BQ28" s="47"/>
      <c r="BR28" s="96"/>
      <c r="BS28" s="97"/>
      <c r="BT28" s="97"/>
      <c r="BU28" s="100"/>
      <c r="BV28" s="100"/>
      <c r="BW28" s="96"/>
      <c r="BX28" s="97"/>
      <c r="BY28" s="100"/>
      <c r="BZ28" s="52"/>
      <c r="CA28" s="53"/>
      <c r="CB28" s="53"/>
      <c r="CC28" s="53"/>
      <c r="CD28" s="206"/>
      <c r="CE28" s="309"/>
      <c r="CF28" s="53"/>
      <c r="CG28" s="53"/>
      <c r="CH28" s="53"/>
      <c r="CI28" s="246"/>
    </row>
    <row r="29" spans="1:91" ht="30" hidden="1" customHeight="1" outlineLevel="1">
      <c r="A29" s="59"/>
      <c r="B29" s="505"/>
      <c r="C29" s="506"/>
      <c r="D29" s="62"/>
      <c r="E29" s="62"/>
      <c r="F29" s="247"/>
      <c r="G29" s="64"/>
      <c r="H29" s="65"/>
      <c r="I29" s="65"/>
      <c r="J29" s="65"/>
      <c r="K29" s="629"/>
      <c r="L29" s="67"/>
      <c r="M29" s="65"/>
      <c r="N29" s="252"/>
      <c r="O29" s="287"/>
      <c r="P29" s="71"/>
      <c r="Q29" s="71"/>
      <c r="R29" s="70"/>
      <c r="S29" s="249"/>
      <c r="T29" s="250"/>
      <c r="U29" s="70"/>
      <c r="V29" s="70"/>
      <c r="W29" s="70"/>
      <c r="X29" s="70"/>
      <c r="Y29" s="250"/>
      <c r="Z29" s="70"/>
      <c r="AA29" s="70"/>
      <c r="AB29" s="70"/>
      <c r="AC29" s="251"/>
      <c r="AD29" s="134" t="s">
        <v>110</v>
      </c>
      <c r="AE29" s="135"/>
      <c r="AF29" s="135"/>
      <c r="AG29" s="135"/>
      <c r="AH29" s="74"/>
      <c r="AI29" s="75"/>
      <c r="AJ29" s="276"/>
      <c r="AK29" s="254"/>
      <c r="AL29" s="255"/>
      <c r="AM29" s="74"/>
      <c r="AN29" s="75"/>
      <c r="AO29" s="78"/>
      <c r="AP29" s="74"/>
      <c r="AQ29" s="256"/>
      <c r="AR29" s="257"/>
      <c r="AS29" s="112"/>
      <c r="AT29" s="247"/>
      <c r="AU29" s="247"/>
      <c r="AV29" s="317"/>
      <c r="AW29" s="68"/>
      <c r="AX29" s="258"/>
      <c r="AY29" s="83" t="s">
        <v>84</v>
      </c>
      <c r="AZ29" s="311" t="str">
        <f>IF(AP29&lt;1,"-",AP29-Y29)</f>
        <v>-</v>
      </c>
      <c r="BA29" s="64" t="str">
        <f>IF(AZ29="-","-",($B$2-AO29+1)*AZ29)</f>
        <v>-</v>
      </c>
      <c r="BB29" s="63" t="str">
        <f>IF(AZ29="-","-",AZ29-H29)</f>
        <v>-</v>
      </c>
      <c r="BC29" s="312" t="str">
        <f>IF(AZ29="-","-",AZ29/(G29))</f>
        <v>-</v>
      </c>
      <c r="BD29" s="139">
        <f>IF(AP29&lt;1,IF($B$2&gt;=A29,($A$2-A29+1)*-1*H29,"-"),AZ29*($A$2-AO29+1)-H29*($A$2-A29+1))</f>
        <v>0</v>
      </c>
      <c r="BE29" s="259"/>
      <c r="BF29" s="260"/>
      <c r="BG29" s="261"/>
      <c r="BH29" s="146"/>
      <c r="BI29" s="143"/>
      <c r="BJ29" s="143"/>
      <c r="BK29" s="143"/>
      <c r="BL29" s="143"/>
      <c r="BM29" s="143"/>
      <c r="BN29" s="93" t="str">
        <f>IF(BH29=0,"-",BH29-AP29)</f>
        <v>-</v>
      </c>
      <c r="BO29" s="314" t="str">
        <f>IF(BI29=0,"-",BI29-AQ29)</f>
        <v>-</v>
      </c>
      <c r="BP29" s="94" t="str">
        <f>IF(BN29="-","-",AZ29+BN29)</f>
        <v>-</v>
      </c>
      <c r="BQ29" s="95" t="str">
        <f>IF(BN29="-","-",(($B$2-AO29+1)*(AZ29+BN29)))</f>
        <v>-</v>
      </c>
      <c r="BR29" s="315"/>
      <c r="BS29" s="214"/>
      <c r="BT29" s="131"/>
      <c r="BU29" s="1923"/>
      <c r="BV29" s="99"/>
      <c r="BW29" s="284"/>
      <c r="BX29" s="214"/>
      <c r="BY29" s="267"/>
      <c r="BZ29" s="101"/>
      <c r="CA29" s="102"/>
      <c r="CB29" s="103"/>
      <c r="CC29" s="104"/>
      <c r="CD29" s="105"/>
      <c r="CE29" s="216"/>
      <c r="CF29" s="268"/>
      <c r="CG29" s="216"/>
      <c r="CH29" s="268"/>
      <c r="CI29" s="269"/>
    </row>
    <row r="30" spans="1:91" ht="30" hidden="1" customHeight="1" outlineLevel="1">
      <c r="A30" s="59"/>
      <c r="B30" s="505"/>
      <c r="C30" s="506"/>
      <c r="D30" s="62"/>
      <c r="E30" s="62"/>
      <c r="F30" s="247"/>
      <c r="G30" s="64"/>
      <c r="H30" s="65"/>
      <c r="I30" s="65"/>
      <c r="J30" s="65"/>
      <c r="K30" s="629"/>
      <c r="L30" s="67"/>
      <c r="M30" s="65"/>
      <c r="N30" s="252"/>
      <c r="O30" s="287"/>
      <c r="P30" s="71"/>
      <c r="Q30" s="71"/>
      <c r="R30" s="70"/>
      <c r="S30" s="71"/>
      <c r="T30" s="85"/>
      <c r="U30" s="71"/>
      <c r="V30" s="71"/>
      <c r="W30" s="71"/>
      <c r="X30" s="71"/>
      <c r="Y30" s="250"/>
      <c r="Z30" s="70"/>
      <c r="AA30" s="70"/>
      <c r="AB30" s="70"/>
      <c r="AC30" s="251"/>
      <c r="AD30" s="274" t="s">
        <v>110</v>
      </c>
      <c r="AE30" s="318"/>
      <c r="AF30" s="288"/>
      <c r="AG30" s="288"/>
      <c r="AH30" s="74"/>
      <c r="AI30" s="75" t="str">
        <f>IF(T30="","",AH30*T30)</f>
        <v/>
      </c>
      <c r="AJ30" s="319"/>
      <c r="AK30" s="77"/>
      <c r="AL30" s="255"/>
      <c r="AM30" s="74"/>
      <c r="AN30" s="75"/>
      <c r="AO30" s="78"/>
      <c r="AP30" s="74"/>
      <c r="AQ30" s="256"/>
      <c r="AR30" s="257"/>
      <c r="AS30" s="66"/>
      <c r="AT30" s="247"/>
      <c r="AU30" s="247"/>
      <c r="AV30" s="247"/>
      <c r="AW30" s="247"/>
      <c r="AX30" s="290"/>
      <c r="AY30" s="83" t="s">
        <v>84</v>
      </c>
      <c r="AZ30" s="84" t="str">
        <f>IF(AP30&lt;1,"-",AP30)</f>
        <v>-</v>
      </c>
      <c r="BA30" s="64" t="str">
        <f>IF(AZ30="-","-",($B$2-AO30+1)*AZ30)</f>
        <v>-</v>
      </c>
      <c r="BB30" s="63" t="str">
        <f>IF(AZ30="-","-",AZ30-H30)</f>
        <v>-</v>
      </c>
      <c r="BC30" s="63" t="str">
        <f>IF(AZ30="-","-",AZ30/H30)</f>
        <v>-</v>
      </c>
      <c r="BD30" s="139">
        <f>IF(AP30&lt;1,IF($B$2&gt;=A30,($A$2-A30+1)*-1*H30,"-"),AZ30*($A$2-AO30+1)-H30*($A$2-A30+1))</f>
        <v>0</v>
      </c>
      <c r="BE30" s="320"/>
      <c r="BF30" s="320"/>
      <c r="BG30" s="321"/>
      <c r="BH30" s="321"/>
      <c r="BI30" s="321"/>
      <c r="BJ30" s="321"/>
      <c r="BK30" s="321"/>
      <c r="BL30" s="321"/>
      <c r="BM30" s="321"/>
      <c r="BN30" s="93" t="str">
        <f>IF(BH30=0,"-",BH30-AP30)</f>
        <v>-</v>
      </c>
      <c r="BO30" s="314" t="str">
        <f>IF(BI30=0,"-",BI30-AQ30)</f>
        <v>-</v>
      </c>
      <c r="BP30" s="94" t="str">
        <f>IF(BN30="-","-",AZ30+BN30)</f>
        <v>-</v>
      </c>
      <c r="BQ30" s="95" t="str">
        <f>IF(BN30="-","-",(($B$2-AO30+1)*(AZ30+BN30)))</f>
        <v>-</v>
      </c>
      <c r="BR30" s="315"/>
      <c r="BS30" s="214"/>
      <c r="BT30" s="131"/>
      <c r="BU30" s="1923"/>
      <c r="BV30" s="99" t="str">
        <f>IF(AO30&lt;1,"",(AO30))</f>
        <v/>
      </c>
      <c r="BW30" s="284"/>
      <c r="BX30" s="214" t="str">
        <f>+AI30</f>
        <v/>
      </c>
      <c r="BY30" s="131"/>
      <c r="BZ30" s="101"/>
      <c r="CA30" s="102"/>
      <c r="CB30" s="103"/>
      <c r="CC30" s="104"/>
      <c r="CD30" s="105"/>
      <c r="CE30" s="131"/>
      <c r="CF30" s="53"/>
      <c r="CG30" s="53"/>
      <c r="CH30" s="53"/>
      <c r="CI30" s="295"/>
    </row>
    <row r="31" spans="1:91" ht="23.25" hidden="1" customHeight="1" outlineLevel="1">
      <c r="A31" s="316"/>
      <c r="B31" s="247"/>
      <c r="C31" s="247"/>
      <c r="D31" s="248"/>
      <c r="E31" s="248"/>
      <c r="F31" s="247"/>
      <c r="G31" s="322"/>
      <c r="H31" s="322"/>
      <c r="I31" s="64"/>
      <c r="J31" s="80"/>
      <c r="K31" s="248"/>
      <c r="L31" s="248"/>
      <c r="M31" s="317"/>
      <c r="N31" s="317"/>
      <c r="O31" s="70"/>
      <c r="P31" s="70"/>
      <c r="Q31" s="70"/>
      <c r="R31" s="70"/>
      <c r="S31" s="70"/>
      <c r="T31" s="250"/>
      <c r="U31" s="70"/>
      <c r="V31" s="70"/>
      <c r="W31" s="70"/>
      <c r="X31" s="70"/>
      <c r="Y31" s="250"/>
      <c r="Z31" s="70"/>
      <c r="AA31" s="70"/>
      <c r="AB31" s="70"/>
      <c r="AC31" s="251"/>
      <c r="AD31" s="323"/>
      <c r="AE31" s="318"/>
      <c r="AF31" s="288"/>
      <c r="AG31" s="288"/>
      <c r="AH31" s="81"/>
      <c r="AI31" s="324"/>
      <c r="AJ31" s="319"/>
      <c r="AK31" s="77"/>
      <c r="AL31" s="276"/>
      <c r="AM31" s="74"/>
      <c r="AN31" s="75"/>
      <c r="AO31" s="78"/>
      <c r="AP31" s="74"/>
      <c r="AQ31" s="256"/>
      <c r="AR31" s="289"/>
      <c r="AS31" s="66"/>
      <c r="AT31" s="247"/>
      <c r="AU31" s="247"/>
      <c r="AV31" s="247"/>
      <c r="AW31" s="247"/>
      <c r="AX31" s="290"/>
      <c r="AY31" s="83"/>
      <c r="AZ31" s="85"/>
      <c r="BA31" s="63"/>
      <c r="BB31" s="85"/>
      <c r="BC31" s="85"/>
      <c r="BD31" s="139"/>
      <c r="BE31" s="320"/>
      <c r="BF31" s="320"/>
      <c r="BG31" s="321"/>
      <c r="BH31" s="321"/>
      <c r="BI31" s="321"/>
      <c r="BJ31" s="321"/>
      <c r="BK31" s="321"/>
      <c r="BL31" s="321"/>
      <c r="BM31" s="321"/>
      <c r="BN31" s="321"/>
      <c r="BO31" s="321"/>
      <c r="BP31"/>
      <c r="BQ31"/>
      <c r="BR31" s="130"/>
      <c r="BS31" s="131"/>
      <c r="BT31" s="131"/>
      <c r="BU31" s="99"/>
      <c r="BV31" s="99"/>
      <c r="BW31" s="130"/>
      <c r="BX31" s="131"/>
      <c r="BY31" s="131"/>
      <c r="BZ31" s="101"/>
      <c r="CA31" s="102"/>
      <c r="CB31" s="103"/>
      <c r="CC31" s="104"/>
      <c r="CD31" s="105"/>
      <c r="CE31" s="131"/>
      <c r="CF31" s="53"/>
      <c r="CG31" s="53"/>
      <c r="CH31" s="53"/>
      <c r="CI31" s="295"/>
    </row>
    <row r="32" spans="1:91" ht="23.25" hidden="1" customHeight="1" outlineLevel="1" collapsed="1">
      <c r="A32" s="325" t="s">
        <v>91</v>
      </c>
      <c r="B32" s="326">
        <f>COUNTIF(A29:A31,$B$1)</f>
        <v>0</v>
      </c>
      <c r="C32" s="327"/>
      <c r="D32" s="328"/>
      <c r="E32" s="328"/>
      <c r="F32" s="328"/>
      <c r="G32" s="329"/>
      <c r="H32" s="329">
        <f>SUMIF(A29:A31,$B$1,H29:H31)</f>
        <v>0</v>
      </c>
      <c r="I32" s="329">
        <f>SUM(I29:I31)</f>
        <v>0</v>
      </c>
      <c r="J32" s="329"/>
      <c r="K32" s="329"/>
      <c r="L32" s="153">
        <f>SUMIF(A29:A31,$B$1,L29:L31)</f>
        <v>0</v>
      </c>
      <c r="M32" s="329"/>
      <c r="N32" s="329"/>
      <c r="O32" s="329"/>
      <c r="P32" s="329"/>
      <c r="Q32" s="329"/>
      <c r="R32" s="329"/>
      <c r="S32" s="329"/>
      <c r="T32" s="329"/>
      <c r="U32" s="329"/>
      <c r="V32" s="328"/>
      <c r="W32" s="328"/>
      <c r="X32" s="328"/>
      <c r="Y32" s="329"/>
      <c r="Z32" s="329"/>
      <c r="AA32" s="328"/>
      <c r="AB32" s="328"/>
      <c r="AC32" s="328"/>
      <c r="AD32" s="328"/>
      <c r="AE32" s="331"/>
      <c r="AF32" s="332"/>
      <c r="AG32" s="333"/>
      <c r="AH32" s="329"/>
      <c r="AI32" s="334"/>
      <c r="AJ32" s="335"/>
      <c r="AK32" s="333"/>
      <c r="AL32" s="333"/>
      <c r="AM32" s="329"/>
      <c r="AN32" s="334"/>
      <c r="AO32" s="336">
        <f>COUNTA(AO29:AO31)</f>
        <v>0</v>
      </c>
      <c r="AP32" s="152">
        <f>SUM(AP29:AP31)</f>
        <v>0</v>
      </c>
      <c r="AQ32" s="329"/>
      <c r="AR32" s="337"/>
      <c r="AS32" s="328"/>
      <c r="AT32" s="328"/>
      <c r="AU32" s="328"/>
      <c r="AV32" s="328"/>
      <c r="AW32" s="328"/>
      <c r="AX32" s="328"/>
      <c r="AY32" s="328"/>
      <c r="AZ32" s="338">
        <f>SUM(AZ29:AZ31)</f>
        <v>0</v>
      </c>
      <c r="BA32" s="338">
        <f>SUM(BA29:BA31)</f>
        <v>0</v>
      </c>
      <c r="BB32" s="338">
        <f>SUM(BB29:BB31)</f>
        <v>0</v>
      </c>
      <c r="BC32" s="221" t="str">
        <f>IF(COUNT(BC29:BC31)=0,"-",AVERAGE(BC29:BC31))</f>
        <v>-</v>
      </c>
      <c r="BD32" s="1784"/>
      <c r="BE32" s="340"/>
      <c r="BF32" s="340"/>
      <c r="BG32" s="341"/>
      <c r="BH32" s="341"/>
      <c r="BI32" s="341"/>
      <c r="BJ32" s="341"/>
      <c r="BK32" s="341"/>
      <c r="BL32" s="341"/>
      <c r="BM32" s="341"/>
      <c r="BN32" s="341"/>
      <c r="BO32" s="341"/>
      <c r="BP32" s="163">
        <f>SUM(BP20:BP31)</f>
        <v>0</v>
      </c>
      <c r="BQ32" s="163">
        <f>SUM(BQ20:BQ31)</f>
        <v>0</v>
      </c>
      <c r="BR32" s="342">
        <f>COUNTA(BR22:BR31)</f>
        <v>0</v>
      </c>
      <c r="BS32" s="343">
        <f>SUM(BS29:BS31)</f>
        <v>0</v>
      </c>
      <c r="BT32" s="344"/>
      <c r="BU32" s="1893">
        <f>SUM(BU29:BU31,BU22:BU25)</f>
        <v>0</v>
      </c>
      <c r="BV32" s="170"/>
      <c r="BW32" s="345">
        <f>SUM(BW29:BW31)</f>
        <v>0</v>
      </c>
      <c r="BX32" s="345">
        <f>SUM(BX29:BX31)</f>
        <v>0</v>
      </c>
      <c r="BY32" s="346"/>
      <c r="BZ32" s="171"/>
      <c r="CA32" s="172"/>
      <c r="CB32" s="173">
        <f>AO32</f>
        <v>0</v>
      </c>
      <c r="CC32" s="173">
        <f>COUNTIF(CC29:CC31,"=0")</f>
        <v>0</v>
      </c>
      <c r="CD32" s="174">
        <f>SUM(COUNTIF(CC29:CC31,"&lt;0"),COUNTIF(CC29:CC31,"&gt;0"))</f>
        <v>0</v>
      </c>
      <c r="CE32" s="225">
        <f>COUNTIF(CE22:CE25,"1")</f>
        <v>0</v>
      </c>
      <c r="CF32" s="226">
        <f>SUM(CF22:CF25)</f>
        <v>0</v>
      </c>
      <c r="CG32" s="227">
        <f>COUNTIF(CG22:CG31,"1")</f>
        <v>0</v>
      </c>
      <c r="CH32" s="228">
        <f>SUM(CH22:CH31)</f>
        <v>0</v>
      </c>
      <c r="CI32" s="347"/>
    </row>
    <row r="33" spans="1:88" ht="23.25" hidden="1" customHeight="1" outlineLevel="1">
      <c r="A33" s="179" t="s">
        <v>89</v>
      </c>
      <c r="B33" s="348">
        <f>COUNT(A29:A31)</f>
        <v>0</v>
      </c>
      <c r="C33" s="181"/>
      <c r="D33" s="182"/>
      <c r="E33" s="182"/>
      <c r="F33" s="182"/>
      <c r="G33" s="184"/>
      <c r="H33" s="184">
        <f>SUM(H29:H31)</f>
        <v>0</v>
      </c>
      <c r="I33" s="184"/>
      <c r="J33" s="184">
        <f>SUM(J29:J31)</f>
        <v>0</v>
      </c>
      <c r="K33" s="184"/>
      <c r="L33" s="184"/>
      <c r="M33" s="184"/>
      <c r="N33" s="184"/>
      <c r="O33" s="184"/>
      <c r="P33" s="184"/>
      <c r="Q33" s="184"/>
      <c r="R33" s="184"/>
      <c r="S33" s="185"/>
      <c r="T33" s="183"/>
      <c r="U33" s="185"/>
      <c r="V33" s="181"/>
      <c r="W33" s="182"/>
      <c r="X33" s="182"/>
      <c r="Y33" s="183"/>
      <c r="Z33" s="185"/>
      <c r="AA33" s="181"/>
      <c r="AB33" s="182"/>
      <c r="AC33" s="182"/>
      <c r="AD33" s="182"/>
      <c r="AE33" s="186"/>
      <c r="AF33" s="186"/>
      <c r="AG33" s="186"/>
      <c r="AH33" s="184">
        <f>COUNT(AI29:AI31)</f>
        <v>0</v>
      </c>
      <c r="AI33" s="184">
        <f>SUM(AI29:AI31)</f>
        <v>0</v>
      </c>
      <c r="AJ33" s="186"/>
      <c r="AK33" s="186"/>
      <c r="AL33" s="186"/>
      <c r="AM33" s="184"/>
      <c r="AN33" s="184"/>
      <c r="AO33" s="182">
        <f>SUM(AO32,AO54)</f>
        <v>0</v>
      </c>
      <c r="AP33" s="184">
        <f>SUM(AP32,AP54)</f>
        <v>0</v>
      </c>
      <c r="AQ33" s="182"/>
      <c r="AR33" s="187"/>
      <c r="AS33" s="182"/>
      <c r="AT33" s="182"/>
      <c r="AU33" s="182"/>
      <c r="AV33" s="182"/>
      <c r="AW33" s="182"/>
      <c r="AX33" s="182"/>
      <c r="AY33" s="182"/>
      <c r="AZ33" s="188">
        <f>SUM(AZ32,AZ54)</f>
        <v>0</v>
      </c>
      <c r="BA33" s="188">
        <f>SUM(BA32,BA54)</f>
        <v>0</v>
      </c>
      <c r="BB33" s="188">
        <f>SUM(BB32,BB54)</f>
        <v>0</v>
      </c>
      <c r="BC33" s="229" t="str">
        <f>IF(COUNT(BC29:BC31,BC22:BC25)=0,"-",AVERAGE(BC29:BC31,BC22:BC25))</f>
        <v>-</v>
      </c>
      <c r="BD33" s="1785">
        <f>SUM(BD29:BD31)</f>
        <v>0</v>
      </c>
      <c r="BE33" s="349"/>
      <c r="BF33" s="349"/>
      <c r="BG33" s="350"/>
      <c r="BH33" s="350"/>
      <c r="BI33" s="350"/>
      <c r="BJ33" s="350"/>
      <c r="BK33" s="350"/>
      <c r="BL33" s="350"/>
      <c r="BM33" s="350"/>
      <c r="BN33" s="350"/>
      <c r="BO33" s="350"/>
      <c r="BP33" s="351"/>
      <c r="BQ33" s="352"/>
      <c r="BR33" s="353"/>
      <c r="BS33" s="354"/>
      <c r="BT33" s="355"/>
      <c r="BU33" s="1900"/>
      <c r="BV33" s="1603">
        <f>SUMIF(BV22:BV31,"",BU22:BU31)</f>
        <v>0</v>
      </c>
      <c r="BW33" s="357"/>
      <c r="BX33" s="358"/>
      <c r="BY33" s="359"/>
      <c r="BZ33" s="360"/>
      <c r="CA33" s="235"/>
      <c r="CB33" s="197">
        <f>SUM(CB29:CB31)</f>
        <v>0</v>
      </c>
      <c r="CC33" s="197">
        <f>SUMIF(CC29:CC31,"=0",CD29:CD31)</f>
        <v>0</v>
      </c>
      <c r="CD33" s="198">
        <f>SUMIF(CC29:CC31,"&lt;&gt;0",CD29:CD31)</f>
        <v>0</v>
      </c>
      <c r="CE33" s="236"/>
      <c r="CF33" s="230"/>
      <c r="CG33" s="230"/>
      <c r="CH33" s="237"/>
      <c r="CI33" s="361"/>
    </row>
    <row r="34" spans="1:88" ht="48" hidden="1" customHeight="1" outlineLevel="1" collapsed="1">
      <c r="A34" s="2144" t="s">
        <v>253</v>
      </c>
      <c r="B34" s="2144"/>
      <c r="C34" s="2144"/>
      <c r="D34" s="2144"/>
      <c r="E34" s="2144"/>
      <c r="F34" s="2144"/>
      <c r="G34" s="362"/>
      <c r="H34" s="362"/>
      <c r="I34" s="362"/>
      <c r="J34" s="362"/>
      <c r="K34" s="362"/>
      <c r="L34" s="362"/>
      <c r="M34" s="362"/>
      <c r="N34" s="362"/>
      <c r="O34" s="362"/>
      <c r="P34" s="362"/>
      <c r="Q34" s="362"/>
      <c r="R34" s="362"/>
      <c r="S34" s="362"/>
      <c r="T34" s="362"/>
      <c r="U34" s="362"/>
      <c r="V34" s="362"/>
      <c r="W34" s="362"/>
      <c r="X34" s="362"/>
      <c r="Y34" s="362"/>
      <c r="Z34" s="362"/>
      <c r="AA34" s="362"/>
      <c r="AB34" s="362"/>
      <c r="AC34" s="362"/>
      <c r="AD34" s="814"/>
      <c r="AE34" s="362"/>
      <c r="AF34" s="362"/>
      <c r="AG34" s="362"/>
      <c r="AH34" s="362"/>
      <c r="AI34" s="362"/>
      <c r="AJ34" s="362"/>
      <c r="AK34" s="362"/>
      <c r="AL34" s="362"/>
      <c r="AM34" s="362"/>
      <c r="AN34" s="362"/>
      <c r="AO34" s="362"/>
      <c r="AP34" s="362"/>
      <c r="AQ34" s="362"/>
      <c r="AR34" s="362"/>
      <c r="AS34" s="362"/>
      <c r="AT34" s="362"/>
      <c r="AU34" s="362"/>
      <c r="AV34" s="362"/>
      <c r="AW34" s="362"/>
      <c r="AX34" s="362"/>
      <c r="AY34" s="362"/>
      <c r="AZ34" s="362"/>
      <c r="BA34" s="362"/>
      <c r="BB34" s="362"/>
      <c r="BC34" s="362"/>
      <c r="BD34" s="363"/>
      <c r="BE34" s="363"/>
      <c r="BF34" s="364"/>
      <c r="BG34" s="364"/>
      <c r="BH34" s="364"/>
      <c r="BI34" s="364"/>
      <c r="BJ34" s="364"/>
      <c r="BK34" s="364"/>
      <c r="BL34" s="364"/>
      <c r="BM34" s="364"/>
      <c r="BN34" s="364"/>
      <c r="BO34" s="364"/>
      <c r="BP34" s="365"/>
      <c r="BQ34" s="365"/>
      <c r="BR34" s="366"/>
      <c r="BS34" s="367"/>
      <c r="BT34" s="367"/>
      <c r="BU34" s="1895"/>
      <c r="BV34" s="368"/>
      <c r="BW34" s="96"/>
      <c r="BX34" s="97"/>
      <c r="BY34" s="100"/>
      <c r="BZ34" s="369"/>
      <c r="CA34" s="365"/>
      <c r="CB34" s="365"/>
      <c r="CC34" s="365"/>
      <c r="CD34" s="244"/>
      <c r="CE34" s="370"/>
      <c r="CF34" s="365"/>
      <c r="CG34" s="365"/>
      <c r="CH34" s="365"/>
      <c r="CI34" s="371"/>
    </row>
    <row r="35" spans="1:88" s="379" customFormat="1" ht="28.5" hidden="1" customHeight="1" outlineLevel="1">
      <c r="A35" s="484" t="s">
        <v>95</v>
      </c>
      <c r="B35" s="247"/>
      <c r="C35" s="247"/>
      <c r="D35" s="612"/>
      <c r="E35" s="62"/>
      <c r="F35" s="247"/>
      <c r="G35" s="64"/>
      <c r="H35" s="80"/>
      <c r="I35" s="80"/>
      <c r="J35" s="80"/>
      <c r="K35" s="271"/>
      <c r="L35" s="67"/>
      <c r="M35" s="68"/>
      <c r="N35" s="68"/>
      <c r="O35" s="272"/>
      <c r="P35" s="70"/>
      <c r="Q35" s="70"/>
      <c r="R35" s="70"/>
      <c r="S35" s="249"/>
      <c r="T35" s="64"/>
      <c r="U35" s="64"/>
      <c r="V35" s="372"/>
      <c r="W35" s="70"/>
      <c r="X35" s="70"/>
      <c r="Y35" s="64"/>
      <c r="Z35" s="64"/>
      <c r="AA35" s="372"/>
      <c r="AB35" s="70"/>
      <c r="AC35" s="251"/>
      <c r="AD35" s="274" t="s">
        <v>126</v>
      </c>
      <c r="AE35" s="76"/>
      <c r="AF35" s="135"/>
      <c r="AG35" s="135"/>
      <c r="AH35" s="74"/>
      <c r="AI35" s="75"/>
      <c r="AJ35" s="76"/>
      <c r="AK35" s="77"/>
      <c r="AL35" s="77"/>
      <c r="AM35" s="74"/>
      <c r="AN35" s="75"/>
      <c r="AO35" s="78"/>
      <c r="AP35" s="74"/>
      <c r="AQ35" s="256"/>
      <c r="AR35" s="257"/>
      <c r="AS35" s="80"/>
      <c r="AT35" s="80"/>
      <c r="AU35" s="247"/>
      <c r="AV35" s="68"/>
      <c r="AW35" s="68"/>
      <c r="AX35" s="373"/>
      <c r="AY35" s="83" t="s">
        <v>84</v>
      </c>
      <c r="AZ35" s="84" t="str">
        <f>IF(AP35&lt;1,"-",AP35)</f>
        <v>-</v>
      </c>
      <c r="BA35" s="64" t="str">
        <f>IF(AZ35="-","-",($B$2-AO35+1)*AZ35)</f>
        <v>-</v>
      </c>
      <c r="BB35" s="85" t="str">
        <f>IF(AZ35="-","-",AZ35-H35)</f>
        <v>-</v>
      </c>
      <c r="BC35" s="86"/>
      <c r="BD35" s="139"/>
      <c r="BE35" s="374"/>
      <c r="BF35" s="375"/>
      <c r="BG35" s="376"/>
      <c r="BH35" s="91">
        <v>29</v>
      </c>
      <c r="BI35" s="93">
        <v>34</v>
      </c>
      <c r="BJ35" s="92">
        <v>3</v>
      </c>
      <c r="BK35" s="93">
        <v>1955</v>
      </c>
      <c r="BL35" s="93"/>
      <c r="BM35" s="93">
        <v>50</v>
      </c>
      <c r="BN35" s="93">
        <f>IF(BH35=0,"-",BH35-AP35)</f>
        <v>29</v>
      </c>
      <c r="BO35" s="314">
        <f>IF(BI35=0,"-",BI35-AQ35)</f>
        <v>34</v>
      </c>
      <c r="BP35" s="94" t="e">
        <f>IF(BN35="-","-",AZ35+BN35)</f>
        <v>#VALUE!</v>
      </c>
      <c r="BQ35" s="95" t="e">
        <f>IF(BN35="-","-",(($B$2-AO35+1)*(AZ35+BN35)))</f>
        <v>#VALUE!</v>
      </c>
      <c r="BR35" s="130"/>
      <c r="BS35" s="131"/>
      <c r="BT35" s="131"/>
      <c r="BU35" s="1923"/>
      <c r="BV35" s="99" t="str">
        <f>IF(AO35&lt;1,"",(AO35))</f>
        <v/>
      </c>
      <c r="BW35" s="284"/>
      <c r="BX35" s="214"/>
      <c r="BY35" s="214" t="str">
        <f t="shared" ref="BY35:BY40" si="1">IF(AG35&gt;$CF$7,T35,IF(AG35="перех",(T35),"-"))</f>
        <v>-</v>
      </c>
      <c r="BZ35" s="101"/>
      <c r="CA35" s="102"/>
      <c r="CB35" s="103" t="e">
        <f>($D$1-AL35)*AZ35</f>
        <v>#VALUE!</v>
      </c>
      <c r="CC35" s="104">
        <f>IF(AO35&gt;0,"-",(AG35-CA35))</f>
        <v>0</v>
      </c>
      <c r="CD35" s="105">
        <f>IF(AO35&gt;0,"-",(($D$1-CA35)*H35))</f>
        <v>0</v>
      </c>
      <c r="CE35" s="106"/>
      <c r="CF35" s="107"/>
      <c r="CG35" s="108"/>
      <c r="CH35" s="377"/>
      <c r="CI35" s="378" t="s">
        <v>94</v>
      </c>
      <c r="CJ35" s="111"/>
    </row>
    <row r="36" spans="1:88" ht="28.5" hidden="1" customHeight="1" outlineLevel="1">
      <c r="A36" s="310"/>
      <c r="B36" s="60"/>
      <c r="C36" s="247"/>
      <c r="D36" s="248"/>
      <c r="E36" s="248"/>
      <c r="F36" s="247"/>
      <c r="G36" s="64"/>
      <c r="H36" s="80"/>
      <c r="I36" s="80"/>
      <c r="J36" s="80"/>
      <c r="K36" s="271"/>
      <c r="L36" s="380"/>
      <c r="M36" s="68"/>
      <c r="N36" s="68"/>
      <c r="O36" s="272"/>
      <c r="P36" s="70"/>
      <c r="Q36" s="70"/>
      <c r="R36" s="70"/>
      <c r="S36" s="249"/>
      <c r="T36" s="64"/>
      <c r="U36" s="70"/>
      <c r="V36" s="272"/>
      <c r="W36" s="70"/>
      <c r="X36" s="70"/>
      <c r="Y36" s="64"/>
      <c r="Z36" s="70"/>
      <c r="AA36" s="272"/>
      <c r="AB36" s="70"/>
      <c r="AC36" s="251"/>
      <c r="AD36" s="274"/>
      <c r="AE36" s="76"/>
      <c r="AF36" s="381"/>
      <c r="AG36" s="381"/>
      <c r="AH36" s="74"/>
      <c r="AI36" s="75"/>
      <c r="AJ36" s="76"/>
      <c r="AK36" s="254"/>
      <c r="AL36" s="254"/>
      <c r="AM36" s="74"/>
      <c r="AN36" s="75"/>
      <c r="AO36" s="78"/>
      <c r="AP36" s="289"/>
      <c r="AQ36" s="256"/>
      <c r="AR36" s="81"/>
      <c r="AS36" s="271"/>
      <c r="AT36" s="247"/>
      <c r="AU36" s="247"/>
      <c r="AV36" s="68"/>
      <c r="AW36" s="68"/>
      <c r="AX36" s="373"/>
      <c r="AY36" s="83"/>
      <c r="AZ36" s="277" t="str">
        <f>IF(AP36&lt;1,"-",AP36)</f>
        <v>-</v>
      </c>
      <c r="BA36" s="250" t="str">
        <f>IF(AZ36="-","-",($B$2-AO36+1)*AZ36)</f>
        <v>-</v>
      </c>
      <c r="BB36" s="85" t="str">
        <f>IF(AZ36="-","-",AZ36-H36)</f>
        <v>-</v>
      </c>
      <c r="BC36" s="85" t="str">
        <f>IF(AZ36="-","-",AZ36/H36)</f>
        <v>-</v>
      </c>
      <c r="BD36" s="139">
        <f>IF(AP36&lt;1,IF($B$2&gt;=A36,($A$2-A36+1)*-1*H36,"-"),AZ36*($A$2-AO36+1)-H36*($A$2-A36+1))</f>
        <v>0</v>
      </c>
      <c r="BE36" s="374"/>
      <c r="BF36" s="375"/>
      <c r="BG36" s="382"/>
      <c r="BH36" s="91"/>
      <c r="BI36" s="91"/>
      <c r="BJ36" s="91"/>
      <c r="BK36" s="91"/>
      <c r="BL36" s="91"/>
      <c r="BM36" s="91"/>
      <c r="BN36" s="93"/>
      <c r="BO36" s="314"/>
      <c r="BP36" s="383"/>
      <c r="BQ36" s="384"/>
      <c r="BR36" s="130"/>
      <c r="BS36" s="131"/>
      <c r="BT36" s="131"/>
      <c r="BU36" s="1923"/>
      <c r="BV36" s="99" t="str">
        <f>IF(AO36&lt;1,"",(AO36))</f>
        <v/>
      </c>
      <c r="BW36" s="385"/>
      <c r="BX36" s="214"/>
      <c r="BY36" s="214" t="str">
        <f t="shared" si="1"/>
        <v>-</v>
      </c>
      <c r="BZ36" s="101"/>
      <c r="CA36" s="102"/>
      <c r="CB36" s="103"/>
      <c r="CC36" s="125"/>
      <c r="CD36" s="105"/>
      <c r="CE36" s="106"/>
      <c r="CF36" s="107"/>
      <c r="CG36" s="108"/>
      <c r="CH36" s="377"/>
      <c r="CI36" s="378" t="s">
        <v>94</v>
      </c>
    </row>
    <row r="37" spans="1:88" s="379" customFormat="1" ht="28.5" hidden="1" customHeight="1" outlineLevel="1">
      <c r="A37" s="386"/>
      <c r="B37" s="247"/>
      <c r="C37" s="247"/>
      <c r="D37" s="248"/>
      <c r="E37" s="248"/>
      <c r="F37" s="247"/>
      <c r="G37" s="64"/>
      <c r="H37" s="80"/>
      <c r="I37" s="80"/>
      <c r="J37" s="80"/>
      <c r="K37" s="271"/>
      <c r="L37" s="285"/>
      <c r="M37" s="68"/>
      <c r="N37" s="252"/>
      <c r="O37" s="70"/>
      <c r="P37" s="70"/>
      <c r="Q37" s="70"/>
      <c r="R37" s="70"/>
      <c r="S37" s="249"/>
      <c r="T37" s="64"/>
      <c r="U37" s="70"/>
      <c r="V37" s="372"/>
      <c r="W37" s="70"/>
      <c r="X37" s="70"/>
      <c r="Y37" s="64"/>
      <c r="Z37" s="70"/>
      <c r="AA37" s="64"/>
      <c r="AB37" s="70"/>
      <c r="AC37" s="251"/>
      <c r="AD37" s="274"/>
      <c r="AE37" s="276"/>
      <c r="AF37" s="135"/>
      <c r="AG37" s="135"/>
      <c r="AH37" s="74"/>
      <c r="AI37" s="75"/>
      <c r="AJ37" s="276"/>
      <c r="AK37" s="77"/>
      <c r="AL37" s="276"/>
      <c r="AM37" s="74"/>
      <c r="AN37" s="75"/>
      <c r="AO37" s="78"/>
      <c r="AP37" s="74"/>
      <c r="AQ37" s="256"/>
      <c r="AR37" s="74"/>
      <c r="AS37" s="65"/>
      <c r="AT37" s="80"/>
      <c r="AU37" s="247"/>
      <c r="AV37" s="247"/>
      <c r="AW37" s="68"/>
      <c r="AX37" s="387"/>
      <c r="AY37" s="83"/>
      <c r="AZ37" s="277"/>
      <c r="BA37" s="250"/>
      <c r="BB37" s="85"/>
      <c r="BC37" s="85"/>
      <c r="BD37" s="139"/>
      <c r="BE37" s="388"/>
      <c r="BF37" s="375"/>
      <c r="BG37" s="389"/>
      <c r="BH37" s="390"/>
      <c r="BI37" s="390"/>
      <c r="BJ37" s="390"/>
      <c r="BK37" s="390"/>
      <c r="BL37" s="390"/>
      <c r="BM37" s="390"/>
      <c r="BN37" s="390"/>
      <c r="BO37" s="391"/>
      <c r="BP37" s="392"/>
      <c r="BQ37" s="393"/>
      <c r="BR37" s="130"/>
      <c r="BS37" s="131"/>
      <c r="BT37" s="131"/>
      <c r="BU37" s="1922"/>
      <c r="BV37" s="99"/>
      <c r="BW37" s="385"/>
      <c r="BX37" s="214"/>
      <c r="BY37" s="214" t="str">
        <f t="shared" si="1"/>
        <v>-</v>
      </c>
      <c r="BZ37" s="101" t="e">
        <f>NA()</f>
        <v>#N/A</v>
      </c>
      <c r="CA37" s="102" t="e">
        <f>NA()</f>
        <v>#N/A</v>
      </c>
      <c r="CB37" s="103">
        <f>($D$1-AL37)*AZ37</f>
        <v>0</v>
      </c>
      <c r="CC37" s="104" t="e">
        <f>IF(AO37&gt;0,"-",(AG37-CA37))</f>
        <v>#N/A</v>
      </c>
      <c r="CD37" s="105" t="e">
        <f>IF(AO37&gt;0,"-",(($D$1-CA37)*H37))</f>
        <v>#N/A</v>
      </c>
      <c r="CE37" s="106"/>
      <c r="CF37" s="107"/>
      <c r="CG37" s="108"/>
      <c r="CH37" s="109"/>
      <c r="CI37" s="394" t="s">
        <v>94</v>
      </c>
    </row>
    <row r="38" spans="1:88" s="379" customFormat="1" ht="28.5" hidden="1" customHeight="1" outlineLevel="1">
      <c r="A38" s="395"/>
      <c r="B38" s="396"/>
      <c r="C38" s="396"/>
      <c r="D38" s="397"/>
      <c r="E38" s="397"/>
      <c r="F38" s="396"/>
      <c r="G38" s="398"/>
      <c r="H38" s="399"/>
      <c r="I38" s="399"/>
      <c r="J38" s="399"/>
      <c r="K38" s="400"/>
      <c r="L38" s="401"/>
      <c r="M38" s="402"/>
      <c r="N38" s="402"/>
      <c r="O38" s="403"/>
      <c r="P38" s="403"/>
      <c r="Q38" s="403"/>
      <c r="R38" s="403"/>
      <c r="S38" s="404"/>
      <c r="T38" s="398"/>
      <c r="U38" s="403"/>
      <c r="V38" s="398"/>
      <c r="W38" s="403"/>
      <c r="X38" s="403"/>
      <c r="Y38" s="398"/>
      <c r="Z38" s="403"/>
      <c r="AA38" s="398"/>
      <c r="AB38" s="403"/>
      <c r="AC38" s="405"/>
      <c r="AD38" s="274"/>
      <c r="AE38" s="406"/>
      <c r="AF38" s="407"/>
      <c r="AG38" s="407"/>
      <c r="AH38" s="408"/>
      <c r="AI38" s="409"/>
      <c r="AJ38" s="406"/>
      <c r="AK38" s="410"/>
      <c r="AL38" s="410"/>
      <c r="AM38" s="408"/>
      <c r="AN38" s="409"/>
      <c r="AO38" s="411"/>
      <c r="AP38" s="408"/>
      <c r="AQ38" s="412"/>
      <c r="AR38" s="413"/>
      <c r="AS38" s="399"/>
      <c r="AT38" s="399"/>
      <c r="AU38" s="396"/>
      <c r="AV38" s="396"/>
      <c r="AW38" s="402"/>
      <c r="AX38" s="414"/>
      <c r="AY38" s="415"/>
      <c r="AZ38" s="416"/>
      <c r="BA38" s="417"/>
      <c r="BB38" s="418"/>
      <c r="BC38" s="418"/>
      <c r="BD38" s="419"/>
      <c r="BE38" s="420"/>
      <c r="BF38" s="421"/>
      <c r="BG38" s="422"/>
      <c r="BH38" s="423"/>
      <c r="BI38" s="423"/>
      <c r="BJ38" s="423"/>
      <c r="BK38" s="423"/>
      <c r="BL38" s="423"/>
      <c r="BM38" s="423"/>
      <c r="BN38" s="423"/>
      <c r="BO38" s="424"/>
      <c r="BP38" s="425"/>
      <c r="BQ38" s="426"/>
      <c r="BR38" s="427"/>
      <c r="BS38" s="428"/>
      <c r="BT38" s="428"/>
      <c r="BU38" s="1924"/>
      <c r="BV38" s="430" t="str">
        <f>IF(AO38&lt;1,"",(AO38))</f>
        <v/>
      </c>
      <c r="BW38" s="431"/>
      <c r="BX38" s="432"/>
      <c r="BY38" s="432" t="str">
        <f t="shared" si="1"/>
        <v>-</v>
      </c>
      <c r="BZ38" s="433"/>
      <c r="CA38" s="434"/>
      <c r="CB38" s="435"/>
      <c r="CC38" s="436"/>
      <c r="CD38" s="437"/>
      <c r="CE38" s="438"/>
      <c r="CF38" s="439"/>
      <c r="CG38" s="440"/>
      <c r="CH38" s="441"/>
      <c r="CI38" s="442" t="s">
        <v>94</v>
      </c>
    </row>
    <row r="39" spans="1:88" ht="28.5" hidden="1" customHeight="1" outlineLevel="1">
      <c r="A39" s="395"/>
      <c r="B39" s="443"/>
      <c r="C39" s="396"/>
      <c r="D39" s="397"/>
      <c r="E39" s="397"/>
      <c r="F39" s="396"/>
      <c r="G39" s="398"/>
      <c r="H39" s="399"/>
      <c r="I39" s="399"/>
      <c r="J39" s="399"/>
      <c r="K39" s="400"/>
      <c r="L39" s="401"/>
      <c r="M39" s="402"/>
      <c r="N39" s="402"/>
      <c r="O39" s="403"/>
      <c r="P39" s="403"/>
      <c r="Q39" s="403"/>
      <c r="R39" s="403"/>
      <c r="S39" s="404"/>
      <c r="T39" s="417"/>
      <c r="U39" s="403"/>
      <c r="V39" s="403"/>
      <c r="W39" s="403"/>
      <c r="X39" s="403"/>
      <c r="Y39" s="417"/>
      <c r="Z39" s="403"/>
      <c r="AA39" s="403"/>
      <c r="AB39" s="403"/>
      <c r="AC39" s="405"/>
      <c r="AD39" s="274"/>
      <c r="AE39" s="406"/>
      <c r="AF39" s="407"/>
      <c r="AG39" s="407"/>
      <c r="AH39" s="408"/>
      <c r="AI39" s="409"/>
      <c r="AJ39" s="406"/>
      <c r="AK39" s="444"/>
      <c r="AL39" s="444"/>
      <c r="AM39" s="408"/>
      <c r="AN39" s="409"/>
      <c r="AO39" s="411"/>
      <c r="AP39" s="445"/>
      <c r="AQ39" s="412"/>
      <c r="AR39" s="413"/>
      <c r="AS39" s="400"/>
      <c r="AT39" s="396"/>
      <c r="AU39" s="396"/>
      <c r="AV39" s="396"/>
      <c r="AW39" s="446"/>
      <c r="AX39" s="414"/>
      <c r="AY39" s="447"/>
      <c r="AZ39" s="416"/>
      <c r="BA39" s="417"/>
      <c r="BB39" s="418"/>
      <c r="BC39" s="418"/>
      <c r="BD39" s="419"/>
      <c r="BE39" s="420"/>
      <c r="BF39" s="421"/>
      <c r="BG39" s="422"/>
      <c r="BH39" s="423"/>
      <c r="BI39" s="423"/>
      <c r="BJ39" s="423"/>
      <c r="BK39" s="423"/>
      <c r="BL39" s="423"/>
      <c r="BM39" s="423"/>
      <c r="BN39" s="423"/>
      <c r="BO39" s="424"/>
      <c r="BP39" s="425"/>
      <c r="BQ39" s="426"/>
      <c r="BR39" s="427"/>
      <c r="BS39" s="428"/>
      <c r="BT39" s="428"/>
      <c r="BU39" s="1924"/>
      <c r="BV39" s="430" t="str">
        <f>IF(AO39&lt;1,"",(AO39))</f>
        <v/>
      </c>
      <c r="BW39" s="431"/>
      <c r="BX39" s="432"/>
      <c r="BY39" s="432" t="str">
        <f t="shared" si="1"/>
        <v>-</v>
      </c>
      <c r="BZ39" s="433"/>
      <c r="CA39" s="434"/>
      <c r="CB39" s="435"/>
      <c r="CC39" s="436"/>
      <c r="CD39" s="437"/>
      <c r="CE39" s="438"/>
      <c r="CF39" s="439"/>
      <c r="CG39" s="440"/>
      <c r="CH39" s="441"/>
      <c r="CI39" s="442" t="s">
        <v>94</v>
      </c>
    </row>
    <row r="40" spans="1:88" s="379" customFormat="1" ht="28.5" hidden="1" customHeight="1" outlineLevel="1">
      <c r="A40" s="395"/>
      <c r="B40" s="396"/>
      <c r="C40" s="396"/>
      <c r="D40" s="397"/>
      <c r="E40" s="397"/>
      <c r="F40" s="396"/>
      <c r="G40" s="398"/>
      <c r="H40" s="399"/>
      <c r="I40" s="399"/>
      <c r="J40" s="399"/>
      <c r="K40" s="400"/>
      <c r="L40" s="401"/>
      <c r="M40" s="402"/>
      <c r="N40" s="402"/>
      <c r="O40" s="403"/>
      <c r="P40" s="403"/>
      <c r="Q40" s="403"/>
      <c r="R40" s="403"/>
      <c r="S40" s="404"/>
      <c r="T40" s="398"/>
      <c r="U40" s="403"/>
      <c r="V40" s="398"/>
      <c r="W40" s="403"/>
      <c r="X40" s="403"/>
      <c r="Y40" s="398"/>
      <c r="Z40" s="403"/>
      <c r="AA40" s="398"/>
      <c r="AB40" s="403"/>
      <c r="AC40" s="405"/>
      <c r="AD40" s="274"/>
      <c r="AE40" s="406"/>
      <c r="AF40" s="407"/>
      <c r="AG40" s="407"/>
      <c r="AH40" s="408"/>
      <c r="AI40" s="409"/>
      <c r="AJ40" s="406"/>
      <c r="AK40" s="410"/>
      <c r="AL40" s="410"/>
      <c r="AM40" s="408"/>
      <c r="AN40" s="409"/>
      <c r="AO40" s="411"/>
      <c r="AP40" s="408"/>
      <c r="AQ40" s="412"/>
      <c r="AR40" s="413"/>
      <c r="AS40" s="399"/>
      <c r="AT40" s="399"/>
      <c r="AU40" s="396"/>
      <c r="AV40" s="396"/>
      <c r="AW40" s="402"/>
      <c r="AX40" s="414"/>
      <c r="AY40" s="447"/>
      <c r="AZ40" s="416"/>
      <c r="BA40" s="417"/>
      <c r="BB40" s="418"/>
      <c r="BC40" s="418"/>
      <c r="BD40" s="419"/>
      <c r="BE40" s="420"/>
      <c r="BF40" s="421"/>
      <c r="BG40" s="422"/>
      <c r="BH40" s="423"/>
      <c r="BI40" s="423"/>
      <c r="BJ40" s="423"/>
      <c r="BK40" s="423"/>
      <c r="BL40" s="423"/>
      <c r="BM40" s="423"/>
      <c r="BN40" s="423"/>
      <c r="BO40" s="424"/>
      <c r="BP40" s="425"/>
      <c r="BQ40" s="426"/>
      <c r="BR40" s="427"/>
      <c r="BS40" s="428"/>
      <c r="BT40" s="428"/>
      <c r="BU40" s="1924"/>
      <c r="BV40" s="430" t="str">
        <f>IF(AO40&lt;1,"",(AO40))</f>
        <v/>
      </c>
      <c r="BW40" s="431"/>
      <c r="BX40" s="432"/>
      <c r="BY40" s="432" t="str">
        <f t="shared" si="1"/>
        <v>-</v>
      </c>
      <c r="BZ40" s="433"/>
      <c r="CA40" s="434"/>
      <c r="CB40" s="435"/>
      <c r="CC40" s="436"/>
      <c r="CD40" s="437"/>
      <c r="CE40" s="438"/>
      <c r="CF40" s="439"/>
      <c r="CG40" s="440"/>
      <c r="CH40" s="441"/>
      <c r="CI40" s="442" t="s">
        <v>94</v>
      </c>
    </row>
    <row r="41" spans="1:88" s="379" customFormat="1" ht="28.5" hidden="1" customHeight="1" outlineLevel="1">
      <c r="A41" s="395"/>
      <c r="B41" s="396"/>
      <c r="C41" s="396"/>
      <c r="D41" s="397"/>
      <c r="E41" s="397"/>
      <c r="F41" s="396"/>
      <c r="G41" s="398"/>
      <c r="H41" s="399"/>
      <c r="I41" s="399"/>
      <c r="J41" s="399"/>
      <c r="K41" s="400"/>
      <c r="L41" s="401"/>
      <c r="M41" s="402"/>
      <c r="N41" s="402"/>
      <c r="O41" s="403"/>
      <c r="P41" s="403"/>
      <c r="Q41" s="403"/>
      <c r="R41" s="403"/>
      <c r="S41" s="404"/>
      <c r="T41" s="398"/>
      <c r="U41" s="403"/>
      <c r="V41" s="398"/>
      <c r="W41" s="403"/>
      <c r="X41" s="403"/>
      <c r="Y41" s="398"/>
      <c r="Z41" s="403"/>
      <c r="AA41" s="398"/>
      <c r="AB41" s="403"/>
      <c r="AC41" s="405"/>
      <c r="AD41" s="274"/>
      <c r="AE41" s="406"/>
      <c r="AF41" s="407"/>
      <c r="AG41" s="407"/>
      <c r="AH41" s="408"/>
      <c r="AI41" s="409"/>
      <c r="AJ41" s="406"/>
      <c r="AK41" s="410"/>
      <c r="AL41" s="410"/>
      <c r="AM41" s="408"/>
      <c r="AN41" s="409"/>
      <c r="AO41" s="411"/>
      <c r="AP41" s="408"/>
      <c r="AQ41" s="412"/>
      <c r="AR41" s="413"/>
      <c r="AS41" s="399"/>
      <c r="AT41" s="399"/>
      <c r="AU41" s="396"/>
      <c r="AV41" s="396"/>
      <c r="AW41" s="402"/>
      <c r="AX41" s="414"/>
      <c r="AY41" s="447"/>
      <c r="AZ41" s="416"/>
      <c r="BA41" s="417"/>
      <c r="BB41" s="418"/>
      <c r="BC41" s="418"/>
      <c r="BD41" s="419"/>
      <c r="BE41" s="420"/>
      <c r="BF41" s="421"/>
      <c r="BG41" s="422"/>
      <c r="BH41" s="423"/>
      <c r="BI41" s="423"/>
      <c r="BJ41" s="423"/>
      <c r="BK41" s="423"/>
      <c r="BL41" s="423"/>
      <c r="BM41" s="423"/>
      <c r="BN41" s="423"/>
      <c r="BO41" s="424"/>
      <c r="BP41" s="425"/>
      <c r="BQ41" s="426"/>
      <c r="BR41" s="427"/>
      <c r="BS41" s="428"/>
      <c r="BT41" s="428"/>
      <c r="BU41" s="1924"/>
      <c r="BV41" s="430"/>
      <c r="BW41" s="431"/>
      <c r="BX41" s="432"/>
      <c r="BY41" s="432"/>
      <c r="BZ41" s="433"/>
      <c r="CA41" s="434"/>
      <c r="CB41" s="435"/>
      <c r="CC41" s="436"/>
      <c r="CD41" s="437"/>
      <c r="CE41" s="438"/>
      <c r="CF41" s="439"/>
      <c r="CG41" s="440"/>
      <c r="CH41" s="441"/>
      <c r="CI41" s="442" t="s">
        <v>94</v>
      </c>
    </row>
    <row r="42" spans="1:88" s="379" customFormat="1" ht="28.5" hidden="1" customHeight="1" outlineLevel="1">
      <c r="A42" s="395"/>
      <c r="B42" s="396"/>
      <c r="C42" s="396"/>
      <c r="D42" s="397"/>
      <c r="E42" s="397"/>
      <c r="F42" s="396"/>
      <c r="G42" s="398"/>
      <c r="H42" s="399"/>
      <c r="I42" s="399"/>
      <c r="J42" s="399"/>
      <c r="K42" s="400"/>
      <c r="L42" s="401"/>
      <c r="M42" s="402"/>
      <c r="N42" s="402"/>
      <c r="O42" s="403"/>
      <c r="P42" s="403"/>
      <c r="Q42" s="403"/>
      <c r="R42" s="403"/>
      <c r="S42" s="404"/>
      <c r="T42" s="398"/>
      <c r="U42" s="403"/>
      <c r="V42" s="398"/>
      <c r="W42" s="403"/>
      <c r="X42" s="403"/>
      <c r="Y42" s="398"/>
      <c r="Z42" s="403"/>
      <c r="AA42" s="398"/>
      <c r="AB42" s="403"/>
      <c r="AC42" s="405"/>
      <c r="AD42" s="274"/>
      <c r="AE42" s="406"/>
      <c r="AF42" s="407"/>
      <c r="AG42" s="407"/>
      <c r="AH42" s="408"/>
      <c r="AI42" s="409"/>
      <c r="AJ42" s="406"/>
      <c r="AK42" s="410"/>
      <c r="AL42" s="410"/>
      <c r="AM42" s="408"/>
      <c r="AN42" s="409"/>
      <c r="AO42" s="411"/>
      <c r="AP42" s="408"/>
      <c r="AQ42" s="412"/>
      <c r="AR42" s="413"/>
      <c r="AS42" s="399"/>
      <c r="AT42" s="399"/>
      <c r="AU42" s="396"/>
      <c r="AV42" s="396"/>
      <c r="AW42" s="402"/>
      <c r="AX42" s="414"/>
      <c r="AY42" s="447"/>
      <c r="AZ42" s="416"/>
      <c r="BA42" s="417"/>
      <c r="BB42" s="418"/>
      <c r="BC42" s="418"/>
      <c r="BD42" s="419"/>
      <c r="BE42" s="420"/>
      <c r="BF42" s="421"/>
      <c r="BG42" s="422"/>
      <c r="BH42" s="423"/>
      <c r="BI42" s="423"/>
      <c r="BJ42" s="423"/>
      <c r="BK42" s="423"/>
      <c r="BL42" s="423"/>
      <c r="BM42" s="423"/>
      <c r="BN42" s="423"/>
      <c r="BO42" s="424"/>
      <c r="BP42" s="425"/>
      <c r="BQ42" s="426"/>
      <c r="BR42" s="427"/>
      <c r="BS42" s="428"/>
      <c r="BT42" s="428"/>
      <c r="BU42" s="1924"/>
      <c r="BV42" s="430" t="str">
        <f>IF(AO42&lt;1,"",(AO42))</f>
        <v/>
      </c>
      <c r="BW42" s="431"/>
      <c r="BX42" s="432"/>
      <c r="BY42" s="432" t="str">
        <f>IF(AG42&gt;$CF$7,T42,IF(AG42="перех",(T42),"-"))</f>
        <v>-</v>
      </c>
      <c r="BZ42" s="433"/>
      <c r="CA42" s="434"/>
      <c r="CB42" s="435"/>
      <c r="CC42" s="436"/>
      <c r="CD42" s="437"/>
      <c r="CE42" s="438"/>
      <c r="CF42" s="439"/>
      <c r="CG42" s="440"/>
      <c r="CH42" s="441"/>
      <c r="CI42" s="442" t="s">
        <v>94</v>
      </c>
    </row>
    <row r="43" spans="1:88" s="379" customFormat="1" ht="28.5" hidden="1" customHeight="1" outlineLevel="1">
      <c r="A43" s="395"/>
      <c r="B43" s="396"/>
      <c r="C43" s="396"/>
      <c r="D43" s="397"/>
      <c r="E43" s="397"/>
      <c r="F43" s="396"/>
      <c r="G43" s="398"/>
      <c r="H43" s="399"/>
      <c r="I43" s="399"/>
      <c r="J43" s="399"/>
      <c r="K43" s="400"/>
      <c r="L43" s="401"/>
      <c r="M43" s="402"/>
      <c r="N43" s="402"/>
      <c r="O43" s="403"/>
      <c r="P43" s="403"/>
      <c r="Q43" s="403"/>
      <c r="R43" s="403"/>
      <c r="S43" s="404"/>
      <c r="T43" s="398"/>
      <c r="U43" s="403"/>
      <c r="V43" s="398"/>
      <c r="W43" s="403"/>
      <c r="X43" s="403"/>
      <c r="Y43" s="398"/>
      <c r="Z43" s="403"/>
      <c r="AA43" s="398"/>
      <c r="AB43" s="403"/>
      <c r="AC43" s="405"/>
      <c r="AD43" s="274"/>
      <c r="AE43" s="406"/>
      <c r="AF43" s="407"/>
      <c r="AG43" s="407"/>
      <c r="AH43" s="408"/>
      <c r="AI43" s="409"/>
      <c r="AJ43" s="406"/>
      <c r="AK43" s="410"/>
      <c r="AL43" s="410"/>
      <c r="AM43" s="408"/>
      <c r="AN43" s="409"/>
      <c r="AO43" s="411"/>
      <c r="AP43" s="408"/>
      <c r="AQ43" s="412"/>
      <c r="AR43" s="413"/>
      <c r="AS43" s="399"/>
      <c r="AT43" s="399"/>
      <c r="AU43" s="396"/>
      <c r="AV43" s="396"/>
      <c r="AW43" s="402"/>
      <c r="AX43" s="414"/>
      <c r="AY43" s="447"/>
      <c r="AZ43" s="416"/>
      <c r="BA43" s="417"/>
      <c r="BB43" s="418"/>
      <c r="BC43" s="418"/>
      <c r="BD43" s="419"/>
      <c r="BE43" s="420"/>
      <c r="BF43" s="421"/>
      <c r="BG43" s="422"/>
      <c r="BH43" s="423"/>
      <c r="BI43" s="423"/>
      <c r="BJ43" s="423"/>
      <c r="BK43" s="423"/>
      <c r="BL43" s="423"/>
      <c r="BM43" s="423"/>
      <c r="BN43" s="423"/>
      <c r="BO43" s="424"/>
      <c r="BP43" s="425"/>
      <c r="BQ43" s="426"/>
      <c r="BR43" s="427"/>
      <c r="BS43" s="428"/>
      <c r="BT43" s="428"/>
      <c r="BU43" s="1924"/>
      <c r="BV43" s="430" t="str">
        <f>IF(AO43&lt;1,"",(AO43))</f>
        <v/>
      </c>
      <c r="BW43" s="431"/>
      <c r="BX43" s="432"/>
      <c r="BY43" s="432" t="str">
        <f>IF(AG43&gt;$CF$7,T43,IF(AG43="перех",(T43),"-"))</f>
        <v>-</v>
      </c>
      <c r="BZ43" s="433"/>
      <c r="CA43" s="434"/>
      <c r="CB43" s="435"/>
      <c r="CC43" s="436"/>
      <c r="CD43" s="437"/>
      <c r="CE43" s="438"/>
      <c r="CF43" s="439"/>
      <c r="CG43" s="440"/>
      <c r="CH43" s="441"/>
      <c r="CI43" s="442" t="s">
        <v>94</v>
      </c>
    </row>
    <row r="44" spans="1:88" ht="28.5" hidden="1" customHeight="1" outlineLevel="1">
      <c r="A44" s="386"/>
      <c r="B44" s="60"/>
      <c r="C44" s="247"/>
      <c r="D44" s="248"/>
      <c r="E44" s="248"/>
      <c r="F44" s="247"/>
      <c r="G44" s="64"/>
      <c r="H44" s="80"/>
      <c r="I44" s="80"/>
      <c r="J44" s="80"/>
      <c r="K44" s="271"/>
      <c r="L44" s="270"/>
      <c r="M44" s="68"/>
      <c r="N44" s="252"/>
      <c r="O44" s="70"/>
      <c r="P44" s="70"/>
      <c r="Q44" s="70"/>
      <c r="R44" s="70"/>
      <c r="S44" s="249"/>
      <c r="T44" s="64"/>
      <c r="U44" s="70"/>
      <c r="V44" s="70"/>
      <c r="W44" s="70"/>
      <c r="X44" s="70"/>
      <c r="Y44" s="64"/>
      <c r="Z44" s="70"/>
      <c r="AA44" s="70"/>
      <c r="AB44" s="70"/>
      <c r="AC44" s="251"/>
      <c r="AD44" s="274"/>
      <c r="AE44" s="276"/>
      <c r="AF44" s="275"/>
      <c r="AG44" s="275"/>
      <c r="AH44" s="74"/>
      <c r="AI44" s="75"/>
      <c r="AJ44" s="276"/>
      <c r="AK44" s="254"/>
      <c r="AL44" s="255"/>
      <c r="AM44" s="74"/>
      <c r="AN44" s="75"/>
      <c r="AO44" s="78"/>
      <c r="AP44" s="289"/>
      <c r="AQ44" s="256"/>
      <c r="AR44" s="74"/>
      <c r="AS44" s="66"/>
      <c r="AT44" s="247"/>
      <c r="AU44" s="247"/>
      <c r="AV44" s="247"/>
      <c r="AW44" s="317"/>
      <c r="AX44" s="387"/>
      <c r="AY44" s="448"/>
      <c r="AZ44" s="277"/>
      <c r="BA44" s="250"/>
      <c r="BB44" s="85"/>
      <c r="BC44" s="85"/>
      <c r="BD44" s="139"/>
      <c r="BE44" s="388"/>
      <c r="BF44" s="375"/>
      <c r="BG44" s="449"/>
      <c r="BH44" s="450"/>
      <c r="BI44" s="450"/>
      <c r="BJ44" s="450"/>
      <c r="BK44" s="450"/>
      <c r="BL44" s="450"/>
      <c r="BM44" s="450"/>
      <c r="BN44" s="390"/>
      <c r="BO44" s="391"/>
      <c r="BP44" s="451"/>
      <c r="BQ44" s="452"/>
      <c r="BR44" s="130"/>
      <c r="BS44" s="131"/>
      <c r="BT44" s="131"/>
      <c r="BU44" s="1922"/>
      <c r="BV44" s="99"/>
      <c r="BW44" s="284"/>
      <c r="BX44" s="132"/>
      <c r="BY44" s="132" t="str">
        <f>IF(AG44&gt;$CF$7,T44,IF(AG44="перех",(T44),"-"))</f>
        <v>-</v>
      </c>
      <c r="BZ44" s="101"/>
      <c r="CA44" s="102"/>
      <c r="CB44" s="103"/>
      <c r="CC44" s="125"/>
      <c r="CD44" s="105"/>
      <c r="CE44" s="106"/>
      <c r="CF44" s="107"/>
      <c r="CG44" s="108"/>
      <c r="CH44" s="109"/>
      <c r="CI44" s="394" t="s">
        <v>94</v>
      </c>
    </row>
    <row r="45" spans="1:88" ht="28.5" hidden="1" customHeight="1" outlineLevel="1">
      <c r="A45" s="386"/>
      <c r="B45" s="247"/>
      <c r="C45" s="247"/>
      <c r="D45" s="248"/>
      <c r="E45" s="248"/>
      <c r="F45" s="247"/>
      <c r="G45" s="64"/>
      <c r="H45" s="80"/>
      <c r="I45" s="80"/>
      <c r="J45" s="80"/>
      <c r="K45" s="271"/>
      <c r="L45" s="453"/>
      <c r="M45" s="68"/>
      <c r="N45" s="252"/>
      <c r="O45" s="70"/>
      <c r="P45" s="70"/>
      <c r="Q45" s="70"/>
      <c r="R45" s="70"/>
      <c r="S45" s="249"/>
      <c r="T45" s="250"/>
      <c r="U45" s="70"/>
      <c r="V45" s="70"/>
      <c r="W45" s="70"/>
      <c r="X45" s="70"/>
      <c r="Y45" s="250"/>
      <c r="Z45" s="70"/>
      <c r="AA45" s="70"/>
      <c r="AB45" s="70"/>
      <c r="AC45" s="251"/>
      <c r="AD45" s="274"/>
      <c r="AE45" s="276"/>
      <c r="AF45" s="454"/>
      <c r="AG45" s="454"/>
      <c r="AH45" s="74"/>
      <c r="AI45" s="75"/>
      <c r="AJ45" s="276"/>
      <c r="AK45" s="254"/>
      <c r="AL45" s="255"/>
      <c r="AM45" s="74"/>
      <c r="AN45" s="75"/>
      <c r="AO45" s="78"/>
      <c r="AP45" s="289"/>
      <c r="AQ45" s="256"/>
      <c r="AR45" s="74"/>
      <c r="AS45" s="112"/>
      <c r="AT45" s="247"/>
      <c r="AU45" s="247"/>
      <c r="AV45" s="247"/>
      <c r="AW45" s="317"/>
      <c r="AX45" s="387"/>
      <c r="AY45" s="83"/>
      <c r="AZ45" s="277"/>
      <c r="BA45" s="250"/>
      <c r="BB45" s="85"/>
      <c r="BC45" s="85"/>
      <c r="BD45" s="139"/>
      <c r="BE45" s="455"/>
      <c r="BF45" s="375"/>
      <c r="BG45" s="456"/>
      <c r="BH45" s="450"/>
      <c r="BI45" s="450"/>
      <c r="BJ45" s="450"/>
      <c r="BK45" s="450"/>
      <c r="BL45" s="390"/>
      <c r="BM45" s="390"/>
      <c r="BN45" s="450"/>
      <c r="BO45" s="457"/>
      <c r="BP45" s="457"/>
      <c r="BQ45" s="458"/>
      <c r="BR45" s="130"/>
      <c r="BS45" s="131"/>
      <c r="BT45" s="131"/>
      <c r="BU45" s="1922"/>
      <c r="BV45" s="99"/>
      <c r="BW45" s="385"/>
      <c r="BX45" s="214"/>
      <c r="BY45" s="214"/>
      <c r="BZ45" s="101"/>
      <c r="CA45" s="102"/>
      <c r="CB45" s="103"/>
      <c r="CC45" s="104"/>
      <c r="CD45" s="105"/>
      <c r="CE45" s="106"/>
      <c r="CF45" s="107"/>
      <c r="CG45" s="108"/>
      <c r="CH45" s="109"/>
      <c r="CI45" s="394"/>
    </row>
    <row r="46" spans="1:88" ht="28.5" hidden="1" customHeight="1" outlineLevel="1">
      <c r="A46" s="386"/>
      <c r="B46" s="60"/>
      <c r="C46" s="247"/>
      <c r="D46" s="248"/>
      <c r="E46" s="248"/>
      <c r="F46" s="247"/>
      <c r="G46" s="64"/>
      <c r="H46" s="80"/>
      <c r="I46" s="80"/>
      <c r="J46" s="80"/>
      <c r="K46" s="271"/>
      <c r="L46" s="270"/>
      <c r="M46" s="68"/>
      <c r="N46" s="252"/>
      <c r="O46" s="70"/>
      <c r="P46" s="70"/>
      <c r="Q46" s="70"/>
      <c r="R46" s="70"/>
      <c r="S46" s="249"/>
      <c r="T46" s="64"/>
      <c r="U46" s="70"/>
      <c r="V46" s="70"/>
      <c r="W46" s="70"/>
      <c r="X46" s="70"/>
      <c r="Y46" s="64"/>
      <c r="Z46" s="70"/>
      <c r="AA46" s="70"/>
      <c r="AB46" s="70"/>
      <c r="AC46" s="251"/>
      <c r="AD46" s="274"/>
      <c r="AE46" s="276"/>
      <c r="AF46" s="275"/>
      <c r="AG46" s="275"/>
      <c r="AH46" s="74"/>
      <c r="AI46" s="75"/>
      <c r="AJ46" s="276"/>
      <c r="AK46" s="254"/>
      <c r="AL46" s="255"/>
      <c r="AM46" s="74"/>
      <c r="AN46" s="75"/>
      <c r="AO46" s="78"/>
      <c r="AP46" s="289"/>
      <c r="AQ46" s="256"/>
      <c r="AR46" s="74"/>
      <c r="AS46" s="66"/>
      <c r="AT46" s="247"/>
      <c r="AU46" s="247"/>
      <c r="AV46" s="247"/>
      <c r="AW46" s="317"/>
      <c r="AX46" s="387"/>
      <c r="AY46" s="448"/>
      <c r="AZ46" s="277"/>
      <c r="BA46" s="250"/>
      <c r="BB46" s="85"/>
      <c r="BC46" s="85"/>
      <c r="BD46" s="139"/>
      <c r="BE46" s="388"/>
      <c r="BF46" s="375"/>
      <c r="BG46" s="449"/>
      <c r="BH46" s="450"/>
      <c r="BI46" s="450"/>
      <c r="BJ46" s="450"/>
      <c r="BK46" s="450"/>
      <c r="BL46" s="450"/>
      <c r="BM46" s="450"/>
      <c r="BN46" s="390"/>
      <c r="BO46" s="391"/>
      <c r="BP46" s="451"/>
      <c r="BQ46" s="452"/>
      <c r="BR46" s="130"/>
      <c r="BS46" s="131"/>
      <c r="BT46" s="131"/>
      <c r="BU46" s="1922"/>
      <c r="BV46" s="99"/>
      <c r="BW46" s="284"/>
      <c r="BX46" s="132"/>
      <c r="BY46" s="132"/>
      <c r="BZ46" s="101"/>
      <c r="CA46" s="102"/>
      <c r="CB46" s="103"/>
      <c r="CC46" s="125"/>
      <c r="CD46" s="105"/>
      <c r="CE46" s="106"/>
      <c r="CF46" s="107"/>
      <c r="CG46" s="108"/>
      <c r="CH46" s="109"/>
      <c r="CI46" s="394"/>
    </row>
    <row r="47" spans="1:88" ht="28.5" hidden="1" customHeight="1" outlineLevel="1" collapsed="1">
      <c r="A47" s="148" t="s">
        <v>86</v>
      </c>
      <c r="B47" s="149">
        <f>COUNTIF(A35:A46,$B$1)</f>
        <v>0</v>
      </c>
      <c r="C47" s="150"/>
      <c r="D47" s="151"/>
      <c r="E47" s="151"/>
      <c r="F47" s="151"/>
      <c r="G47" s="160"/>
      <c r="H47" s="152">
        <f>SUMIF(A35:A46,$B$1,H35:H46)</f>
        <v>0</v>
      </c>
      <c r="I47" s="152">
        <f>SUMIF(A35:A46,$B$1,I35:I46)</f>
        <v>0</v>
      </c>
      <c r="J47" s="152"/>
      <c r="K47" s="152"/>
      <c r="L47" s="152">
        <f>SUMIF(A35:A46,$B$1,L35:L46)</f>
        <v>0</v>
      </c>
      <c r="M47" s="152"/>
      <c r="N47" s="152"/>
      <c r="O47" s="152"/>
      <c r="P47" s="152"/>
      <c r="Q47" s="152"/>
      <c r="R47" s="152"/>
      <c r="S47" s="152"/>
      <c r="T47" s="152"/>
      <c r="U47" s="152"/>
      <c r="V47" s="151"/>
      <c r="W47" s="151"/>
      <c r="X47" s="151"/>
      <c r="Y47" s="152"/>
      <c r="Z47" s="152"/>
      <c r="AA47" s="151"/>
      <c r="AB47" s="151"/>
      <c r="AC47" s="151"/>
      <c r="AD47" s="151"/>
      <c r="AE47" s="154"/>
      <c r="AF47" s="155"/>
      <c r="AG47" s="156"/>
      <c r="AH47" s="152"/>
      <c r="AI47" s="157"/>
      <c r="AJ47" s="296"/>
      <c r="AK47" s="156"/>
      <c r="AL47" s="156"/>
      <c r="AM47" s="152"/>
      <c r="AN47" s="157"/>
      <c r="AO47" s="297">
        <f>COUNTA(AO35:AO46)</f>
        <v>0</v>
      </c>
      <c r="AP47" s="152">
        <f>SUM(AP35:AP46)</f>
        <v>0</v>
      </c>
      <c r="AQ47" s="152">
        <f>SUM(AQ35:AQ46)</f>
        <v>0</v>
      </c>
      <c r="AR47" s="161"/>
      <c r="AS47" s="151"/>
      <c r="AT47" s="151"/>
      <c r="AU47" s="151"/>
      <c r="AV47" s="151"/>
      <c r="AW47" s="151"/>
      <c r="AX47" s="151"/>
      <c r="AY47" s="151"/>
      <c r="AZ47" s="163">
        <f>SUM(AZ35:AZ46)</f>
        <v>0</v>
      </c>
      <c r="BA47" s="163">
        <f>SUM(BA35:BA46)</f>
        <v>0</v>
      </c>
      <c r="BB47" s="163">
        <f>SUM(BB35:BB46)</f>
        <v>0</v>
      </c>
      <c r="BC47" s="221" t="str">
        <f>IF(COUNT(BC35:BC46)=0,"-",AVERAGE(BC35:BC46))</f>
        <v>-</v>
      </c>
      <c r="BD47" s="165"/>
      <c r="BE47" s="166"/>
      <c r="BF47" s="166"/>
      <c r="BG47" s="165"/>
      <c r="BH47" s="165"/>
      <c r="BI47" s="165"/>
      <c r="BJ47" s="165"/>
      <c r="BK47" s="165"/>
      <c r="BL47" s="165"/>
      <c r="BM47" s="165"/>
      <c r="BN47" s="165"/>
      <c r="BO47" s="165"/>
      <c r="BP47" s="176"/>
      <c r="BQ47" s="177"/>
      <c r="BR47" s="459">
        <f>COUNTA(BR35:BR46)</f>
        <v>0</v>
      </c>
      <c r="BS47" s="460">
        <f>SUM(BS35:BS36)</f>
        <v>0</v>
      </c>
      <c r="BT47" s="460"/>
      <c r="BU47" s="1925">
        <f>SUM(BU35:BU46)</f>
        <v>0</v>
      </c>
      <c r="BV47" s="461"/>
      <c r="BW47" s="345">
        <f>SUM(BW35:BW37)</f>
        <v>0</v>
      </c>
      <c r="BX47" s="462">
        <f>SUM(BX35:BX37)</f>
        <v>0</v>
      </c>
      <c r="BY47" s="463"/>
      <c r="BZ47" s="464"/>
      <c r="CA47" s="465"/>
      <c r="CB47" s="466">
        <f>AO47</f>
        <v>0</v>
      </c>
      <c r="CC47" s="466">
        <f>COUNTIF(CC35:CC46,"=0")</f>
        <v>1</v>
      </c>
      <c r="CD47" s="467">
        <f>SUM(COUNTIF(CC35:CC46,"&lt;0"),COUNTIF(CC35:CC46,"&gt;0"))</f>
        <v>0</v>
      </c>
      <c r="CE47" s="468"/>
      <c r="CF47" s="469"/>
      <c r="CG47" s="469"/>
      <c r="CH47" s="470"/>
      <c r="CI47" s="347"/>
    </row>
    <row r="48" spans="1:88" ht="30" hidden="1" customHeight="1" outlineLevel="1">
      <c r="A48" s="179" t="s">
        <v>87</v>
      </c>
      <c r="B48" s="348">
        <f>COUNT(A35:A46)</f>
        <v>0</v>
      </c>
      <c r="C48" s="181"/>
      <c r="D48" s="182"/>
      <c r="E48" s="182"/>
      <c r="F48" s="182"/>
      <c r="G48" s="184"/>
      <c r="H48" s="184">
        <f>SUMIF(A35:A46,"&gt;0",H35:H46)</f>
        <v>0</v>
      </c>
      <c r="I48" s="184"/>
      <c r="J48" s="184">
        <f>SUM(J35:J46)</f>
        <v>0</v>
      </c>
      <c r="K48" s="184"/>
      <c r="L48" s="184"/>
      <c r="M48" s="184"/>
      <c r="N48" s="184"/>
      <c r="O48" s="184"/>
      <c r="P48" s="184"/>
      <c r="Q48" s="184"/>
      <c r="R48" s="184"/>
      <c r="S48" s="185"/>
      <c r="T48" s="185">
        <f>SUMIF(AI35:AI46,"&gt;0",T35:T46)-SUMIF(AH35:AH46,"&gt;0",T35:T46)</f>
        <v>0</v>
      </c>
      <c r="U48" s="185"/>
      <c r="V48" s="182"/>
      <c r="W48" s="182"/>
      <c r="X48" s="182"/>
      <c r="Y48" s="185">
        <f>SUMIF(AO35:AO46,"&gt;0",Y35:Y46)-SUMIF(AN35:AN46,"&gt;0",Y35:Y46)</f>
        <v>0</v>
      </c>
      <c r="Z48" s="185"/>
      <c r="AA48" s="182"/>
      <c r="AB48" s="182"/>
      <c r="AC48" s="182"/>
      <c r="AD48" s="182"/>
      <c r="AE48" s="186"/>
      <c r="AF48" s="186"/>
      <c r="AG48" s="186"/>
      <c r="AH48" s="184">
        <f>COUNT(AI35:AI46)</f>
        <v>0</v>
      </c>
      <c r="AI48" s="184">
        <f>SUM(AI35:AI46)</f>
        <v>0</v>
      </c>
      <c r="AJ48" s="186"/>
      <c r="AK48" s="186"/>
      <c r="AL48" s="186"/>
      <c r="AM48" s="184"/>
      <c r="AN48" s="184"/>
      <c r="AO48" s="184"/>
      <c r="AP48" s="184"/>
      <c r="AQ48" s="184"/>
      <c r="AR48" s="182"/>
      <c r="AS48" s="182"/>
      <c r="AT48" s="182"/>
      <c r="AU48" s="187"/>
      <c r="AV48" s="182"/>
      <c r="AW48" s="182"/>
      <c r="AX48" s="182"/>
      <c r="AY48" s="182"/>
      <c r="AZ48" s="182"/>
      <c r="BA48" s="182"/>
      <c r="BB48" s="182"/>
      <c r="BC48" s="182"/>
      <c r="BD48" s="188">
        <f>SUM(BD35:BD46)</f>
        <v>0</v>
      </c>
      <c r="BE48" s="189"/>
      <c r="BF48" s="189"/>
      <c r="BG48" s="190"/>
      <c r="BH48" s="190"/>
      <c r="BI48" s="190"/>
      <c r="BJ48" s="190"/>
      <c r="BK48" s="190"/>
      <c r="BL48" s="190"/>
      <c r="BM48" s="190"/>
      <c r="BN48" s="190"/>
      <c r="BO48" s="190"/>
      <c r="BP48" s="308"/>
      <c r="BQ48" s="230"/>
      <c r="BR48" s="471"/>
      <c r="BS48" s="472"/>
      <c r="BT48" s="472"/>
      <c r="BU48" s="1926"/>
      <c r="BV48" s="1914"/>
      <c r="BW48" s="471"/>
      <c r="BX48" s="472"/>
      <c r="BY48" s="473"/>
      <c r="BZ48" s="475"/>
      <c r="CA48" s="476"/>
      <c r="CB48" s="197" t="e">
        <f>SUM(CB35:CB46)</f>
        <v>#VALUE!</v>
      </c>
      <c r="CC48" s="197">
        <f>SUMIF(CC35:CC46,"=0",CD35:CD46)</f>
        <v>0</v>
      </c>
      <c r="CD48" s="198" t="e">
        <f>SUMIF(CC35:CC46,"&lt;&gt;0",CD35:CD46)</f>
        <v>#N/A</v>
      </c>
      <c r="CE48" s="477"/>
      <c r="CF48" s="308"/>
      <c r="CG48" s="308"/>
      <c r="CH48" s="230"/>
      <c r="CI48" s="202"/>
    </row>
    <row r="49" spans="1:87" ht="24" hidden="1" customHeight="1" outlineLevel="1" collapsed="1">
      <c r="A49" s="2144" t="s">
        <v>246</v>
      </c>
      <c r="B49" s="2144"/>
      <c r="C49" s="2144"/>
      <c r="D49" s="2144"/>
      <c r="E49" s="2144"/>
      <c r="F49" s="21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3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5"/>
      <c r="BE49" s="45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78"/>
      <c r="BQ49" s="47"/>
      <c r="BR49" s="479"/>
      <c r="BS49" s="480"/>
      <c r="BT49" s="480"/>
      <c r="BU49" s="481"/>
      <c r="BV49" s="481"/>
      <c r="BW49" s="479"/>
      <c r="BX49" s="480"/>
      <c r="BY49" s="481"/>
      <c r="BZ49" s="482"/>
      <c r="CA49" s="478"/>
      <c r="CB49" s="478"/>
      <c r="CC49" s="478"/>
      <c r="CD49" s="47"/>
      <c r="CE49" s="483"/>
      <c r="CF49" s="478"/>
      <c r="CG49" s="478"/>
      <c r="CH49" s="47"/>
      <c r="CI49" s="394"/>
    </row>
    <row r="50" spans="1:87" s="379" customFormat="1" ht="32.25" hidden="1" customHeight="1" outlineLevel="1">
      <c r="A50" s="310" t="s">
        <v>95</v>
      </c>
      <c r="B50" s="247"/>
      <c r="C50" s="247"/>
      <c r="D50" s="62"/>
      <c r="E50" s="62"/>
      <c r="F50" s="247"/>
      <c r="G50" s="64"/>
      <c r="H50" s="65"/>
      <c r="I50" s="65"/>
      <c r="J50" s="65"/>
      <c r="K50" s="629"/>
      <c r="L50" s="67"/>
      <c r="M50" s="65"/>
      <c r="N50" s="252"/>
      <c r="O50" s="287"/>
      <c r="P50" s="71"/>
      <c r="Q50" s="71"/>
      <c r="R50" s="70"/>
      <c r="S50" s="249"/>
      <c r="T50" s="250"/>
      <c r="U50" s="70"/>
      <c r="V50" s="64"/>
      <c r="W50" s="70"/>
      <c r="X50" s="70"/>
      <c r="Y50" s="250"/>
      <c r="Z50" s="70"/>
      <c r="AA50" s="64"/>
      <c r="AB50" s="70"/>
      <c r="AC50" s="251"/>
      <c r="AD50" s="134" t="s">
        <v>110</v>
      </c>
      <c r="AE50" s="135"/>
      <c r="AF50" s="135"/>
      <c r="AG50" s="135"/>
      <c r="AH50" s="74"/>
      <c r="AI50" s="75"/>
      <c r="AJ50" s="276"/>
      <c r="AK50" s="254"/>
      <c r="AL50" s="255">
        <f>AK50</f>
        <v>0</v>
      </c>
      <c r="AM50" s="74"/>
      <c r="AN50" s="75"/>
      <c r="AO50" s="78"/>
      <c r="AP50" s="74"/>
      <c r="AQ50" s="256"/>
      <c r="AR50" s="614"/>
      <c r="AS50" s="80"/>
      <c r="AT50" s="80"/>
      <c r="AU50" s="68"/>
      <c r="AV50" s="247"/>
      <c r="AW50" s="68"/>
      <c r="AX50" s="373"/>
      <c r="AY50" s="83" t="s">
        <v>84</v>
      </c>
      <c r="AZ50" s="311" t="str">
        <f>IF(AP50&lt;1,"-",AP50-Y50)</f>
        <v>-</v>
      </c>
      <c r="BA50" s="64" t="str">
        <f>IF(AZ50="-","-",($B$2-AO50+1)*AZ50)</f>
        <v>-</v>
      </c>
      <c r="BB50" s="64" t="str">
        <f>IF(AZ50="-","-",AZ50-H50)</f>
        <v>-</v>
      </c>
      <c r="BC50" s="312"/>
      <c r="BD50" s="139"/>
      <c r="BE50" s="374"/>
      <c r="BF50" s="375"/>
      <c r="BG50" s="314"/>
      <c r="BH50" s="93"/>
      <c r="BI50" s="93"/>
      <c r="BJ50" s="93"/>
      <c r="BK50" s="93"/>
      <c r="BL50" s="93"/>
      <c r="BM50" s="93"/>
      <c r="BN50" s="93"/>
      <c r="BO50" s="314"/>
      <c r="BP50" s="487"/>
      <c r="BQ50" s="488"/>
      <c r="BR50" s="130"/>
      <c r="BS50" s="131"/>
      <c r="BT50" s="131"/>
      <c r="BU50" s="1922"/>
      <c r="BV50" s="99"/>
      <c r="BW50" s="385"/>
      <c r="BX50" s="214"/>
      <c r="BY50" s="214"/>
      <c r="BZ50" s="101"/>
      <c r="CA50" s="102"/>
      <c r="CB50" s="103"/>
      <c r="CC50" s="104"/>
      <c r="CD50" s="105"/>
      <c r="CE50" s="106"/>
      <c r="CF50" s="107"/>
      <c r="CG50" s="108"/>
      <c r="CH50" s="377"/>
      <c r="CI50" s="378" t="s">
        <v>94</v>
      </c>
    </row>
    <row r="51" spans="1:87" s="379" customFormat="1" ht="32.25" hidden="1" customHeight="1" outlineLevel="1">
      <c r="A51" s="59"/>
      <c r="B51" s="247"/>
      <c r="C51" s="247"/>
      <c r="D51" s="248"/>
      <c r="E51" s="248"/>
      <c r="F51" s="247"/>
      <c r="G51" s="64"/>
      <c r="H51" s="65"/>
      <c r="I51" s="65"/>
      <c r="J51" s="65"/>
      <c r="K51" s="271"/>
      <c r="L51" s="67"/>
      <c r="M51" s="68"/>
      <c r="N51" s="68"/>
      <c r="O51" s="70"/>
      <c r="P51" s="70"/>
      <c r="Q51" s="70"/>
      <c r="R51" s="70"/>
      <c r="S51" s="249"/>
      <c r="T51" s="64"/>
      <c r="U51" s="70"/>
      <c r="V51" s="64"/>
      <c r="W51" s="70"/>
      <c r="X51" s="70"/>
      <c r="Y51" s="64"/>
      <c r="Z51" s="70"/>
      <c r="AA51" s="64"/>
      <c r="AB51" s="70"/>
      <c r="AC51" s="251"/>
      <c r="AD51" s="134" t="s">
        <v>110</v>
      </c>
      <c r="AE51" s="135"/>
      <c r="AF51" s="135"/>
      <c r="AG51" s="135"/>
      <c r="AH51" s="74"/>
      <c r="AI51" s="75"/>
      <c r="AJ51" s="76"/>
      <c r="AK51" s="77"/>
      <c r="AL51" s="77"/>
      <c r="AM51" s="74"/>
      <c r="AN51" s="75"/>
      <c r="AO51" s="78"/>
      <c r="AP51" s="74"/>
      <c r="AQ51" s="256"/>
      <c r="AR51" s="81"/>
      <c r="AS51" s="80"/>
      <c r="AT51" s="80"/>
      <c r="AU51" s="247"/>
      <c r="AV51" s="247"/>
      <c r="AW51" s="68"/>
      <c r="AX51" s="485"/>
      <c r="AY51" s="486" t="s">
        <v>85</v>
      </c>
      <c r="AZ51" s="277"/>
      <c r="BA51" s="250"/>
      <c r="BB51" s="85"/>
      <c r="BC51" s="85"/>
      <c r="BD51" s="139"/>
      <c r="BE51" s="259"/>
      <c r="BF51" s="260"/>
      <c r="BG51" s="489"/>
      <c r="BH51" s="145"/>
      <c r="BI51" s="145"/>
      <c r="BJ51" s="145"/>
      <c r="BK51" s="145"/>
      <c r="BL51" s="145"/>
      <c r="BM51" s="145"/>
      <c r="BN51" s="145"/>
      <c r="BO51" s="262"/>
      <c r="BP51" s="487"/>
      <c r="BQ51" s="488"/>
      <c r="BR51" s="130"/>
      <c r="BS51" s="131"/>
      <c r="BT51" s="131"/>
      <c r="BU51" s="1922"/>
      <c r="BV51" s="99"/>
      <c r="BW51" s="385"/>
      <c r="BX51" s="214"/>
      <c r="BY51" s="214"/>
      <c r="BZ51" s="101"/>
      <c r="CA51" s="102"/>
      <c r="CB51" s="103"/>
      <c r="CC51" s="104"/>
      <c r="CD51" s="105"/>
      <c r="CE51" s="106"/>
      <c r="CF51" s="107"/>
      <c r="CG51" s="108"/>
      <c r="CH51" s="377"/>
      <c r="CI51" s="378" t="s">
        <v>94</v>
      </c>
    </row>
    <row r="52" spans="1:87" s="379" customFormat="1" ht="12.75" hidden="1" customHeight="1" outlineLevel="1">
      <c r="A52" s="484"/>
      <c r="B52" s="247"/>
      <c r="C52" s="247"/>
      <c r="D52" s="248"/>
      <c r="E52" s="248"/>
      <c r="F52" s="247"/>
      <c r="G52" s="64"/>
      <c r="H52" s="80"/>
      <c r="I52" s="80"/>
      <c r="J52" s="80"/>
      <c r="K52" s="271"/>
      <c r="L52" s="270"/>
      <c r="M52" s="68"/>
      <c r="N52" s="68"/>
      <c r="O52" s="70"/>
      <c r="P52" s="70"/>
      <c r="Q52" s="70"/>
      <c r="R52" s="70"/>
      <c r="S52" s="249"/>
      <c r="T52" s="64"/>
      <c r="U52" s="70"/>
      <c r="V52" s="64"/>
      <c r="W52" s="70"/>
      <c r="X52" s="70"/>
      <c r="Y52" s="64"/>
      <c r="Z52" s="70"/>
      <c r="AA52" s="64"/>
      <c r="AB52" s="70"/>
      <c r="AC52" s="251"/>
      <c r="AD52" s="274"/>
      <c r="AE52" s="135"/>
      <c r="AF52" s="135"/>
      <c r="AG52" s="135"/>
      <c r="AH52" s="74"/>
      <c r="AI52" s="75"/>
      <c r="AJ52" s="76"/>
      <c r="AK52" s="77"/>
      <c r="AL52" s="77"/>
      <c r="AM52" s="74"/>
      <c r="AN52" s="75"/>
      <c r="AO52" s="78"/>
      <c r="AP52" s="74"/>
      <c r="AQ52" s="256"/>
      <c r="AR52" s="81"/>
      <c r="AS52" s="80"/>
      <c r="AT52" s="80"/>
      <c r="AU52" s="247"/>
      <c r="AV52" s="247"/>
      <c r="AW52" s="68"/>
      <c r="AX52" s="485"/>
      <c r="AY52" s="486"/>
      <c r="AZ52" s="277"/>
      <c r="BA52" s="250"/>
      <c r="BB52" s="85"/>
      <c r="BC52" s="85"/>
      <c r="BD52" s="139"/>
      <c r="BE52" s="490"/>
      <c r="BF52" s="278"/>
      <c r="BG52" s="491"/>
      <c r="BH52" s="282"/>
      <c r="BI52" s="281"/>
      <c r="BJ52" s="281"/>
      <c r="BK52" s="281"/>
      <c r="BL52" s="281"/>
      <c r="BM52" s="281"/>
      <c r="BN52" s="281"/>
      <c r="BO52" s="282"/>
      <c r="BP52" s="492"/>
      <c r="BQ52" s="493"/>
      <c r="BR52" s="130"/>
      <c r="BS52" s="131"/>
      <c r="BT52" s="131"/>
      <c r="BU52" s="1922"/>
      <c r="BV52" s="99"/>
      <c r="BW52" s="385"/>
      <c r="BX52" s="214"/>
      <c r="BY52" s="214"/>
      <c r="BZ52" s="101"/>
      <c r="CA52" s="102"/>
      <c r="CB52" s="103"/>
      <c r="CC52" s="104"/>
      <c r="CD52" s="105"/>
      <c r="CE52" s="106"/>
      <c r="CF52" s="107"/>
      <c r="CG52" s="108"/>
      <c r="CH52" s="377"/>
      <c r="CI52" s="378"/>
    </row>
    <row r="53" spans="1:87" s="379" customFormat="1" ht="12.75" hidden="1" customHeight="1" outlineLevel="1">
      <c r="A53" s="484"/>
      <c r="B53" s="247"/>
      <c r="C53" s="247"/>
      <c r="D53" s="248"/>
      <c r="E53" s="248"/>
      <c r="F53" s="247"/>
      <c r="G53" s="64"/>
      <c r="H53" s="80"/>
      <c r="I53" s="80"/>
      <c r="J53" s="80"/>
      <c r="K53" s="271"/>
      <c r="L53" s="270"/>
      <c r="M53" s="68"/>
      <c r="N53" s="68"/>
      <c r="O53" s="70"/>
      <c r="P53" s="70"/>
      <c r="Q53" s="70"/>
      <c r="R53" s="70"/>
      <c r="S53" s="249"/>
      <c r="T53" s="64"/>
      <c r="U53" s="70"/>
      <c r="V53" s="64"/>
      <c r="W53" s="70"/>
      <c r="X53" s="70"/>
      <c r="Y53" s="64"/>
      <c r="Z53" s="70"/>
      <c r="AA53" s="64"/>
      <c r="AB53" s="70"/>
      <c r="AC53" s="251"/>
      <c r="AD53" s="274"/>
      <c r="AE53" s="135"/>
      <c r="AF53" s="135"/>
      <c r="AG53" s="135"/>
      <c r="AH53" s="74"/>
      <c r="AI53" s="75"/>
      <c r="AJ53" s="76"/>
      <c r="AK53" s="77"/>
      <c r="AL53" s="77"/>
      <c r="AM53" s="74"/>
      <c r="AN53" s="75"/>
      <c r="AO53" s="78"/>
      <c r="AP53" s="74"/>
      <c r="AQ53" s="256"/>
      <c r="AR53" s="81"/>
      <c r="AS53" s="80"/>
      <c r="AT53" s="80"/>
      <c r="AU53" s="247"/>
      <c r="AV53" s="247"/>
      <c r="AW53" s="68"/>
      <c r="AX53" s="485"/>
      <c r="AY53" s="486"/>
      <c r="AZ53" s="277"/>
      <c r="BA53" s="250"/>
      <c r="BB53" s="85"/>
      <c r="BC53" s="85"/>
      <c r="BD53" s="139"/>
      <c r="BE53" s="490"/>
      <c r="BF53" s="278"/>
      <c r="BG53" s="282"/>
      <c r="BH53" s="282"/>
      <c r="BI53" s="281"/>
      <c r="BJ53" s="281"/>
      <c r="BK53" s="281"/>
      <c r="BL53" s="281"/>
      <c r="BM53" s="281"/>
      <c r="BN53" s="281"/>
      <c r="BO53" s="282"/>
      <c r="BP53" s="494"/>
      <c r="BQ53" s="495"/>
      <c r="BR53" s="130"/>
      <c r="BS53" s="131"/>
      <c r="BT53" s="131"/>
      <c r="BU53" s="1922"/>
      <c r="BV53" s="99"/>
      <c r="BW53" s="385"/>
      <c r="BX53" s="214"/>
      <c r="BY53" s="214"/>
      <c r="BZ53" s="101"/>
      <c r="CA53" s="102"/>
      <c r="CB53" s="103"/>
      <c r="CC53" s="104"/>
      <c r="CD53" s="105"/>
      <c r="CE53" s="216"/>
      <c r="CF53" s="268"/>
      <c r="CG53" s="216"/>
      <c r="CH53" s="268"/>
      <c r="CI53" s="378"/>
    </row>
    <row r="54" spans="1:87" ht="22.5" hidden="1" customHeight="1" outlineLevel="1" collapsed="1">
      <c r="A54" s="148" t="s">
        <v>91</v>
      </c>
      <c r="B54" s="149">
        <f>COUNTIF(A50:A53,$B$1)</f>
        <v>0</v>
      </c>
      <c r="C54" s="150"/>
      <c r="D54" s="151"/>
      <c r="E54" s="151"/>
      <c r="F54" s="151"/>
      <c r="G54" s="152"/>
      <c r="H54" s="152">
        <f>SUMIF(A50:A53,$B$1,H50:H53)</f>
        <v>0</v>
      </c>
      <c r="I54" s="152">
        <f>SUM(I50:I53)</f>
        <v>0</v>
      </c>
      <c r="J54" s="152">
        <f>SUM(J50:J53)</f>
        <v>0</v>
      </c>
      <c r="K54" s="152"/>
      <c r="L54" s="153">
        <f>SUMIF(A50:A53,$B$1,L50:L53)</f>
        <v>0</v>
      </c>
      <c r="M54" s="152"/>
      <c r="N54" s="152"/>
      <c r="O54" s="152"/>
      <c r="P54" s="152"/>
      <c r="Q54" s="152"/>
      <c r="R54" s="152"/>
      <c r="S54" s="152"/>
      <c r="T54" s="152"/>
      <c r="U54" s="152"/>
      <c r="V54" s="151"/>
      <c r="W54" s="151"/>
      <c r="X54" s="151"/>
      <c r="Y54" s="152"/>
      <c r="Z54" s="152"/>
      <c r="AA54" s="151"/>
      <c r="AB54" s="151"/>
      <c r="AC54" s="151"/>
      <c r="AD54" s="151"/>
      <c r="AE54" s="154"/>
      <c r="AF54" s="155"/>
      <c r="AG54" s="156"/>
      <c r="AH54" s="152"/>
      <c r="AI54" s="157">
        <f>SUM(AI50:AI53)</f>
        <v>0</v>
      </c>
      <c r="AJ54" s="156"/>
      <c r="AK54" s="156"/>
      <c r="AL54" s="156"/>
      <c r="AM54" s="152"/>
      <c r="AN54" s="157"/>
      <c r="AO54" s="297">
        <f>COUNTA(AO50:AO53)</f>
        <v>0</v>
      </c>
      <c r="AP54" s="152">
        <f>SUM(AP50:AP53)</f>
        <v>0</v>
      </c>
      <c r="AQ54" s="152">
        <f>SUM(AQ50:AQ53)</f>
        <v>0</v>
      </c>
      <c r="AR54" s="161"/>
      <c r="AS54" s="151"/>
      <c r="AT54" s="151"/>
      <c r="AU54" s="151"/>
      <c r="AV54" s="151"/>
      <c r="AW54" s="151"/>
      <c r="AX54" s="151"/>
      <c r="AY54" s="151"/>
      <c r="AZ54" s="163">
        <f>SUM(AZ50:AZ53)</f>
        <v>0</v>
      </c>
      <c r="BA54" s="163">
        <f>SUM(BA50:BA53)</f>
        <v>0</v>
      </c>
      <c r="BB54" s="163">
        <f>SUM(BB50:BB53)</f>
        <v>0</v>
      </c>
      <c r="BC54" s="221" t="str">
        <f>IF(COUNT(BC50:BC53)=0,"-",AVERAGE(BC50:BC53))</f>
        <v>-</v>
      </c>
      <c r="BD54" s="165"/>
      <c r="BE54" s="222"/>
      <c r="BF54" s="222"/>
      <c r="BG54" s="223"/>
      <c r="BH54" s="223"/>
      <c r="BI54" s="223"/>
      <c r="BJ54" s="223"/>
      <c r="BK54" s="223"/>
      <c r="BL54" s="223"/>
      <c r="BM54" s="223"/>
      <c r="BN54" s="223"/>
      <c r="BO54" s="223"/>
      <c r="BP54" s="163" t="e">
        <f>SUM(BP35:BP53)</f>
        <v>#VALUE!</v>
      </c>
      <c r="BQ54" s="163" t="e">
        <f>SUM(BQ35:BQ53)</f>
        <v>#VALUE!</v>
      </c>
      <c r="BR54" s="496">
        <f>COUNTA(BR50:BR53)</f>
        <v>0</v>
      </c>
      <c r="BS54" s="497">
        <f>SUM(BS50:BS53)</f>
        <v>0</v>
      </c>
      <c r="BT54" s="470"/>
      <c r="BU54" s="1927">
        <f>SUM(BU50:BU53)</f>
        <v>0</v>
      </c>
      <c r="BV54" s="498"/>
      <c r="BW54" s="496">
        <f>COUNTA(BW50:BW53)</f>
        <v>0</v>
      </c>
      <c r="BX54" s="462">
        <f>SUM(BX35:BX53)</f>
        <v>0</v>
      </c>
      <c r="BY54" s="463">
        <f>SUM(BY35:BY53)</f>
        <v>0</v>
      </c>
      <c r="BZ54" s="464"/>
      <c r="CA54" s="465"/>
      <c r="CB54" s="466">
        <f>AO54</f>
        <v>0</v>
      </c>
      <c r="CC54" s="466">
        <f>COUNTIF(CC50:CC53,"=0")</f>
        <v>0</v>
      </c>
      <c r="CD54" s="467">
        <f>SUM(COUNTIF(CC50:CC53,"&lt;0"),COUNTIF(CC50:CC53,"&gt;0"))</f>
        <v>0</v>
      </c>
      <c r="CE54" s="499">
        <f>COUNTIF(CE35:CE46,"1")</f>
        <v>0</v>
      </c>
      <c r="CF54" s="500">
        <f>SUM(CF35:CF46)</f>
        <v>0</v>
      </c>
      <c r="CG54" s="227">
        <f>COUNTIF(CG35:CG53,"1")</f>
        <v>0</v>
      </c>
      <c r="CH54" s="228">
        <f>SUM(CH35:CH53)</f>
        <v>0</v>
      </c>
      <c r="CI54" s="178"/>
    </row>
    <row r="55" spans="1:87" ht="22.5" hidden="1" customHeight="1" outlineLevel="1">
      <c r="A55" s="179" t="s">
        <v>89</v>
      </c>
      <c r="B55" s="180">
        <f>COUNT(A50:A53)</f>
        <v>0</v>
      </c>
      <c r="C55" s="181"/>
      <c r="D55" s="182"/>
      <c r="E55" s="182"/>
      <c r="F55" s="182"/>
      <c r="G55" s="183"/>
      <c r="H55" s="184">
        <f>H48+H54</f>
        <v>0</v>
      </c>
      <c r="I55" s="184"/>
      <c r="J55" s="184">
        <f>SUM(J50:J53)</f>
        <v>0</v>
      </c>
      <c r="K55" s="184"/>
      <c r="L55" s="184"/>
      <c r="M55" s="184"/>
      <c r="N55" s="184"/>
      <c r="O55" s="184"/>
      <c r="P55" s="184"/>
      <c r="Q55" s="184"/>
      <c r="R55" s="184"/>
      <c r="S55" s="185"/>
      <c r="T55" s="185">
        <f ca="1">SUMIF(AI49:AI53,"&gt;0",T50:T53)-SUMIF(AH49:AH53,"&gt;0",T50:T53)</f>
        <v>0</v>
      </c>
      <c r="U55" s="185"/>
      <c r="V55" s="182"/>
      <c r="W55" s="182"/>
      <c r="X55" s="182"/>
      <c r="Y55" s="185">
        <f>SUMIF(AO50:AO53,"&gt;0",Y50:Y53)-SUMIF(AN50:AN53,"&gt;0",Y50:Y53)</f>
        <v>0</v>
      </c>
      <c r="Z55" s="185"/>
      <c r="AA55" s="182"/>
      <c r="AB55" s="182"/>
      <c r="AC55" s="182"/>
      <c r="AD55" s="182"/>
      <c r="AE55" s="186"/>
      <c r="AF55" s="186"/>
      <c r="AG55" s="184"/>
      <c r="AH55" s="184"/>
      <c r="AI55" s="184">
        <f>AI48+AI54</f>
        <v>0</v>
      </c>
      <c r="AJ55" s="186"/>
      <c r="AK55" s="186"/>
      <c r="AL55" s="186"/>
      <c r="AM55" s="184"/>
      <c r="AN55" s="184"/>
      <c r="AO55" s="184">
        <f>SUM(AO54,AO32)</f>
        <v>0</v>
      </c>
      <c r="AP55" s="184">
        <f>AP47+AP54</f>
        <v>0</v>
      </c>
      <c r="AQ55" s="184">
        <f>AQ47+AQ54</f>
        <v>0</v>
      </c>
      <c r="AR55" s="182"/>
      <c r="AS55" s="182"/>
      <c r="AT55" s="182"/>
      <c r="AU55" s="187"/>
      <c r="AV55" s="182"/>
      <c r="AW55" s="182"/>
      <c r="AX55" s="182"/>
      <c r="AY55" s="182"/>
      <c r="AZ55" s="188">
        <f>AZ47+AZ54</f>
        <v>0</v>
      </c>
      <c r="BA55" s="188">
        <f>BA47+BA54</f>
        <v>0</v>
      </c>
      <c r="BB55" s="188">
        <f>BB47+BB54</f>
        <v>0</v>
      </c>
      <c r="BC55" s="229" t="str">
        <f>IF(COUNT(BC50:BC53,BC35:BC46)=0,"-",AVERAGE(BC50:BC53,BC35:BC46))</f>
        <v>-</v>
      </c>
      <c r="BD55" s="188">
        <f>BD48</f>
        <v>0</v>
      </c>
      <c r="BE55" s="189"/>
      <c r="BF55" s="189"/>
      <c r="BG55" s="190"/>
      <c r="BH55" s="190"/>
      <c r="BI55" s="190"/>
      <c r="BJ55" s="190"/>
      <c r="BK55" s="190"/>
      <c r="BL55" s="190"/>
      <c r="BM55" s="190"/>
      <c r="BN55" s="190"/>
      <c r="BO55" s="190"/>
      <c r="BP55" s="190"/>
      <c r="BQ55" s="190"/>
      <c r="BR55" s="471"/>
      <c r="BS55" s="472"/>
      <c r="BT55" s="472"/>
      <c r="BU55" s="1926"/>
      <c r="BV55" s="1914">
        <f>SUMIF(BV35:BV53,"",BU35:BU53)</f>
        <v>0</v>
      </c>
      <c r="BW55" s="471"/>
      <c r="BX55" s="472"/>
      <c r="BY55" s="473"/>
      <c r="BZ55" s="475"/>
      <c r="CA55" s="476"/>
      <c r="CB55" s="197">
        <f>SUM(CB50:CB53)</f>
        <v>0</v>
      </c>
      <c r="CC55" s="197">
        <f>SUMIF(CC50:CC53,"=0",CD50:CD53)</f>
        <v>0</v>
      </c>
      <c r="CD55" s="198">
        <f>SUMIF(CC50:CC53,"&lt;&gt;0",CD50:CD53)</f>
        <v>0</v>
      </c>
      <c r="CE55" s="477"/>
      <c r="CF55" s="308"/>
      <c r="CG55" s="308"/>
      <c r="CH55" s="237"/>
      <c r="CI55" s="202"/>
    </row>
    <row r="56" spans="1:87" ht="27.75" hidden="1" customHeight="1" outlineLevel="1" collapsed="1">
      <c r="A56" s="2150" t="s">
        <v>96</v>
      </c>
      <c r="B56" s="2151"/>
      <c r="C56" s="2151"/>
      <c r="D56" s="2151"/>
      <c r="E56" s="2151"/>
      <c r="F56" s="2151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3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5"/>
      <c r="BE56" s="45"/>
      <c r="BF56" s="46"/>
      <c r="BG56" s="46"/>
      <c r="BH56" s="46"/>
      <c r="BI56" s="46"/>
      <c r="BJ56" s="46"/>
      <c r="BK56" s="46"/>
      <c r="BL56" s="46"/>
      <c r="BM56" s="46"/>
      <c r="BN56" s="46"/>
      <c r="BO56" s="46"/>
      <c r="BP56" s="478"/>
      <c r="BQ56" s="47"/>
      <c r="BR56" s="207"/>
      <c r="BS56" s="208"/>
      <c r="BT56" s="208"/>
      <c r="BU56" s="209"/>
      <c r="BV56" s="209"/>
      <c r="BW56" s="207"/>
      <c r="BX56" s="208"/>
      <c r="BY56" s="209"/>
      <c r="BZ56" s="101"/>
      <c r="CA56" s="102"/>
      <c r="CB56" s="103"/>
      <c r="CC56" s="104"/>
      <c r="CD56" s="105"/>
      <c r="CE56" s="501"/>
      <c r="CF56" s="502"/>
      <c r="CG56" s="502"/>
      <c r="CH56" s="503"/>
      <c r="CI56" s="504"/>
    </row>
    <row r="57" spans="1:87" ht="30.75" hidden="1" customHeight="1" outlineLevel="1">
      <c r="A57" s="59"/>
      <c r="B57" s="505"/>
      <c r="C57" s="506"/>
      <c r="D57" s="62"/>
      <c r="E57" s="62"/>
      <c r="F57" s="507"/>
      <c r="G57" s="80">
        <f>M57-T57</f>
        <v>0</v>
      </c>
      <c r="H57" s="65">
        <f>M57-T57</f>
        <v>0</v>
      </c>
      <c r="I57" s="65">
        <f>IF($B$2&gt;=A57,($B$2-A57+1)*H57,"-")</f>
        <v>0</v>
      </c>
      <c r="J57" s="65">
        <f>($A$2-A57+1)*H57</f>
        <v>0</v>
      </c>
      <c r="K57" s="66"/>
      <c r="L57" s="67">
        <f ca="1">IF((AE57)&lt;$L$2-DAY($L$2)+1,H57,H57+T57)</f>
        <v>0</v>
      </c>
      <c r="M57" s="252"/>
      <c r="N57" s="252"/>
      <c r="O57" s="287"/>
      <c r="P57" s="71"/>
      <c r="Q57" s="71"/>
      <c r="R57" s="71"/>
      <c r="S57" s="249"/>
      <c r="T57" s="64"/>
      <c r="U57" s="70"/>
      <c r="V57" s="508"/>
      <c r="W57" s="71"/>
      <c r="X57" s="508"/>
      <c r="Y57" s="64"/>
      <c r="Z57" s="70"/>
      <c r="AA57" s="508"/>
      <c r="AB57" s="71"/>
      <c r="AC57" s="72"/>
      <c r="AD57" s="274"/>
      <c r="AE57" s="135"/>
      <c r="AF57" s="135"/>
      <c r="AG57" s="135"/>
      <c r="AH57" s="74">
        <f>IF(AE57="переход","",AF57-AE57)</f>
        <v>0</v>
      </c>
      <c r="AI57" s="75" t="str">
        <f>IF(T57="","",AH57*T57)</f>
        <v/>
      </c>
      <c r="AJ57" s="135"/>
      <c r="AK57" s="77"/>
      <c r="AL57" s="77"/>
      <c r="AM57" s="74"/>
      <c r="AN57" s="75" t="str">
        <f>IF(Y57="","",AM57*Y57)</f>
        <v/>
      </c>
      <c r="AO57" s="78"/>
      <c r="AP57" s="74"/>
      <c r="AQ57" s="74"/>
      <c r="AR57" s="257"/>
      <c r="AS57" s="66"/>
      <c r="AT57" s="247"/>
      <c r="AU57" s="247"/>
      <c r="AV57" s="247"/>
      <c r="AW57" s="68"/>
      <c r="AX57" s="373"/>
      <c r="AY57" s="83" t="s">
        <v>84</v>
      </c>
      <c r="AZ57" s="311" t="str">
        <f>IF(AP57&lt;1,"-",AP57-Y57)</f>
        <v>-</v>
      </c>
      <c r="BA57" s="64" t="str">
        <f>IF(AZ57="-","-",($B$2-AO57+1)*AZ57)</f>
        <v>-</v>
      </c>
      <c r="BB57" s="63" t="str">
        <f>IF(AZ57="-","-",AZ57-H57)</f>
        <v>-</v>
      </c>
      <c r="BC57" s="312" t="str">
        <f>IF(AZ57="-","-",AZ57/H57)</f>
        <v>-</v>
      </c>
      <c r="BD57" s="139">
        <f>IF(AP57&lt;1,IF($B$2&gt;=A57,($A$2-A57+1)*-1*H57,"-"),AZ57*($A$2-AO57+1)-H57*($A$2-A57+1))</f>
        <v>0</v>
      </c>
      <c r="BE57" s="509"/>
      <c r="BF57" s="510"/>
      <c r="BG57" s="511"/>
      <c r="BH57" s="94"/>
      <c r="BI57" s="91"/>
      <c r="BJ57" s="91"/>
      <c r="BK57" s="91"/>
      <c r="BL57" s="91"/>
      <c r="BM57" s="91"/>
      <c r="BN57" s="91" t="str">
        <f t="shared" ref="BN57:BO61" si="2">IF(BH57=0,"-",BH57-AP57)</f>
        <v>-</v>
      </c>
      <c r="BO57" s="91" t="str">
        <f t="shared" si="2"/>
        <v>-</v>
      </c>
      <c r="BP57" s="94" t="str">
        <f>IF(BN57="-","-",AZ57+BN57)</f>
        <v>-</v>
      </c>
      <c r="BQ57" s="95" t="str">
        <f>IF(BN57="-","-",(($B$2-AO57+1)*(AZ57+BN57)))</f>
        <v>-</v>
      </c>
      <c r="BR57" s="130"/>
      <c r="BS57" s="214"/>
      <c r="BT57" s="131"/>
      <c r="BU57" s="1923"/>
      <c r="BV57" s="99"/>
      <c r="BW57" s="284"/>
      <c r="BX57" s="214"/>
      <c r="BY57" s="214"/>
      <c r="BZ57" s="101" t="e">
        <f>NA()</f>
        <v>#N/A</v>
      </c>
      <c r="CA57" s="102" t="e">
        <f>NA()</f>
        <v>#N/A</v>
      </c>
      <c r="CB57" s="103" t="e">
        <f t="shared" ref="CB57:CB62" si="3">($D$1-AL57)*AZ57</f>
        <v>#VALUE!</v>
      </c>
      <c r="CC57" s="104" t="e">
        <f t="shared" ref="CC57:CC62" si="4">IF(AO57&gt;0,"-",(AG57-CA57))</f>
        <v>#N/A</v>
      </c>
      <c r="CD57" s="105" t="e">
        <f t="shared" ref="CD57:CD62" si="5">IF(AO57&gt;0,"-",(($D$1-CA57)*H57))</f>
        <v>#N/A</v>
      </c>
      <c r="CE57" s="106"/>
      <c r="CF57" s="107"/>
      <c r="CG57" s="108"/>
      <c r="CH57" s="377"/>
      <c r="CI57" s="512" t="s">
        <v>96</v>
      </c>
    </row>
    <row r="58" spans="1:87" ht="12.75" hidden="1" customHeight="1" outlineLevel="1">
      <c r="A58" s="310"/>
      <c r="B58" s="505"/>
      <c r="C58" s="506"/>
      <c r="D58" s="62"/>
      <c r="E58" s="62"/>
      <c r="F58" s="507"/>
      <c r="G58" s="65"/>
      <c r="H58" s="65"/>
      <c r="I58" s="65"/>
      <c r="J58" s="65"/>
      <c r="K58" s="66"/>
      <c r="L58" s="285"/>
      <c r="M58" s="252"/>
      <c r="N58" s="252"/>
      <c r="O58" s="71"/>
      <c r="P58" s="71"/>
      <c r="Q58" s="71"/>
      <c r="R58" s="71"/>
      <c r="S58" s="249"/>
      <c r="T58" s="64"/>
      <c r="U58" s="70"/>
      <c r="V58" s="508"/>
      <c r="W58" s="71"/>
      <c r="X58" s="508"/>
      <c r="Y58" s="64"/>
      <c r="Z58" s="70"/>
      <c r="AA58" s="508"/>
      <c r="AB58" s="71"/>
      <c r="AC58" s="72"/>
      <c r="AD58" s="274" t="s">
        <v>96</v>
      </c>
      <c r="AE58" s="135"/>
      <c r="AF58" s="135"/>
      <c r="AG58" s="135"/>
      <c r="AH58" s="74"/>
      <c r="AI58" s="75"/>
      <c r="AJ58" s="135"/>
      <c r="AK58" s="77"/>
      <c r="AL58" s="77"/>
      <c r="AM58" s="74"/>
      <c r="AN58" s="75"/>
      <c r="AO58" s="78"/>
      <c r="AP58" s="74"/>
      <c r="AQ58" s="74"/>
      <c r="AR58" s="74"/>
      <c r="AS58" s="66"/>
      <c r="AT58" s="247"/>
      <c r="AU58" s="247"/>
      <c r="AV58" s="247"/>
      <c r="AW58" s="68"/>
      <c r="AX58" s="373"/>
      <c r="AY58" s="83" t="s">
        <v>84</v>
      </c>
      <c r="AZ58" s="311" t="str">
        <f>IF(AP58&lt;1,"-",AP58-BU58)</f>
        <v>-</v>
      </c>
      <c r="BA58" s="63" t="str">
        <f>IF(AZ58="-","-",($B$2-AO58+1)*AZ58)</f>
        <v>-</v>
      </c>
      <c r="BB58" s="63" t="str">
        <f>IF(AZ58="-","-",AZ58-H58)</f>
        <v>-</v>
      </c>
      <c r="BC58" s="312" t="str">
        <f>IF(AZ58="-","-",AZ58/H58)</f>
        <v>-</v>
      </c>
      <c r="BD58" s="139">
        <f>IF(AP58&lt;1,IF($B$2&gt;=A58,($A$2-A58+1)*-1*H58,"-"),AZ58*($A$2-AO58+1)-H58*($A$2-A58+1))</f>
        <v>0</v>
      </c>
      <c r="BE58" s="509"/>
      <c r="BF58" s="510"/>
      <c r="BG58" s="511"/>
      <c r="BH58" s="94"/>
      <c r="BI58" s="91"/>
      <c r="BJ58" s="91"/>
      <c r="BK58" s="91"/>
      <c r="BL58" s="91"/>
      <c r="BM58" s="91"/>
      <c r="BN58" s="91" t="str">
        <f t="shared" si="2"/>
        <v>-</v>
      </c>
      <c r="BO58" s="91" t="str">
        <f t="shared" si="2"/>
        <v>-</v>
      </c>
      <c r="BP58" s="94" t="str">
        <f>IF(BN58="-","-",AZ58+BN58)</f>
        <v>-</v>
      </c>
      <c r="BQ58" s="95" t="str">
        <f>IF(BN58="-","-",(($B$2-AO58+1)*(AZ58+BN58)))</f>
        <v>-</v>
      </c>
      <c r="BR58" s="130"/>
      <c r="BS58" s="131"/>
      <c r="BT58" s="131"/>
      <c r="BU58" s="1922"/>
      <c r="BV58" s="99" t="str">
        <f t="shared" ref="BV58:BV63" si="6">IF(AO58&lt;1,"",(AO58))</f>
        <v/>
      </c>
      <c r="BW58" s="284"/>
      <c r="BX58" s="132"/>
      <c r="BY58" s="132"/>
      <c r="BZ58" s="101" t="e">
        <f>NA()</f>
        <v>#N/A</v>
      </c>
      <c r="CA58" s="102" t="e">
        <f>NA()</f>
        <v>#N/A</v>
      </c>
      <c r="CB58" s="103" t="e">
        <f t="shared" si="3"/>
        <v>#VALUE!</v>
      </c>
      <c r="CC58" s="104" t="e">
        <f t="shared" si="4"/>
        <v>#N/A</v>
      </c>
      <c r="CD58" s="105" t="e">
        <f t="shared" si="5"/>
        <v>#N/A</v>
      </c>
      <c r="CE58" s="106"/>
      <c r="CF58" s="107"/>
      <c r="CG58" s="108"/>
      <c r="CH58" s="377"/>
      <c r="CI58" s="512" t="s">
        <v>96</v>
      </c>
    </row>
    <row r="59" spans="1:87" ht="12.75" hidden="1" customHeight="1" outlineLevel="1">
      <c r="A59" s="310"/>
      <c r="B59" s="505"/>
      <c r="C59" s="506"/>
      <c r="D59" s="62"/>
      <c r="E59" s="62"/>
      <c r="F59" s="507"/>
      <c r="G59" s="65"/>
      <c r="H59" s="65"/>
      <c r="I59" s="65"/>
      <c r="J59" s="65"/>
      <c r="K59" s="66"/>
      <c r="L59" s="285"/>
      <c r="M59" s="252"/>
      <c r="N59" s="252"/>
      <c r="O59" s="71"/>
      <c r="P59" s="71"/>
      <c r="Q59" s="71"/>
      <c r="R59" s="71"/>
      <c r="S59" s="249"/>
      <c r="T59" s="64"/>
      <c r="U59" s="70"/>
      <c r="V59" s="508"/>
      <c r="W59" s="71"/>
      <c r="X59" s="508"/>
      <c r="Y59" s="64"/>
      <c r="Z59" s="70"/>
      <c r="AA59" s="508"/>
      <c r="AB59" s="71"/>
      <c r="AC59" s="72"/>
      <c r="AD59" s="274" t="s">
        <v>96</v>
      </c>
      <c r="AE59" s="135"/>
      <c r="AF59" s="135"/>
      <c r="AG59" s="135"/>
      <c r="AH59" s="74"/>
      <c r="AI59" s="75"/>
      <c r="AJ59" s="135"/>
      <c r="AK59" s="77"/>
      <c r="AL59" s="77"/>
      <c r="AM59" s="74"/>
      <c r="AN59" s="75"/>
      <c r="AO59" s="78"/>
      <c r="AP59" s="74"/>
      <c r="AQ59" s="74"/>
      <c r="AR59" s="74"/>
      <c r="AS59" s="66"/>
      <c r="AT59" s="247"/>
      <c r="AU59" s="247"/>
      <c r="AV59" s="68"/>
      <c r="AW59" s="68"/>
      <c r="AX59" s="373"/>
      <c r="AY59" s="83" t="s">
        <v>84</v>
      </c>
      <c r="AZ59" s="311" t="str">
        <f>IF(AP59&lt;1,"-",AP59-BU59)</f>
        <v>-</v>
      </c>
      <c r="BA59" s="63" t="str">
        <f>IF(AZ59="-","-",($B$2-AO59+1)*AZ59)</f>
        <v>-</v>
      </c>
      <c r="BB59" s="63" t="str">
        <f>IF(AZ59="-","-",AZ59-H59)</f>
        <v>-</v>
      </c>
      <c r="BC59" s="312" t="str">
        <f>IF(AZ59="-","-",AZ59/H59)</f>
        <v>-</v>
      </c>
      <c r="BD59" s="139">
        <f>IF(AP59&lt;1,IF($B$2&gt;=A59,($A$2-A59+1)*-1*H59,"-"),AZ59*($A$2-AO59+1)-H59*($A$2-A59+1))</f>
        <v>0</v>
      </c>
      <c r="BE59" s="509"/>
      <c r="BF59" s="510"/>
      <c r="BG59" s="511"/>
      <c r="BH59" s="94"/>
      <c r="BI59" s="91"/>
      <c r="BJ59" s="91"/>
      <c r="BK59" s="91"/>
      <c r="BL59" s="91"/>
      <c r="BM59" s="91"/>
      <c r="BN59" s="91" t="str">
        <f t="shared" si="2"/>
        <v>-</v>
      </c>
      <c r="BO59" s="91" t="str">
        <f t="shared" si="2"/>
        <v>-</v>
      </c>
      <c r="BP59" s="94" t="str">
        <f>IF(BN59="-","-",AZ59+BN59)</f>
        <v>-</v>
      </c>
      <c r="BQ59" s="95" t="str">
        <f>IF(BN59="-","-",(($B$2-AO59+1)*(AZ59+BN59)))</f>
        <v>-</v>
      </c>
      <c r="BR59" s="130"/>
      <c r="BS59" s="131"/>
      <c r="BT59" s="131"/>
      <c r="BU59" s="1922"/>
      <c r="BV59" s="99" t="str">
        <f t="shared" si="6"/>
        <v/>
      </c>
      <c r="BW59" s="284"/>
      <c r="BX59" s="132"/>
      <c r="BY59" s="132"/>
      <c r="BZ59" s="101" t="e">
        <f>NA()</f>
        <v>#N/A</v>
      </c>
      <c r="CA59" s="102" t="e">
        <f>NA()</f>
        <v>#N/A</v>
      </c>
      <c r="CB59" s="103" t="e">
        <f t="shared" si="3"/>
        <v>#VALUE!</v>
      </c>
      <c r="CC59" s="104" t="e">
        <f t="shared" si="4"/>
        <v>#N/A</v>
      </c>
      <c r="CD59" s="105" t="e">
        <f t="shared" si="5"/>
        <v>#N/A</v>
      </c>
      <c r="CE59" s="106"/>
      <c r="CF59" s="107"/>
      <c r="CG59" s="108"/>
      <c r="CH59" s="377"/>
      <c r="CI59" s="512" t="s">
        <v>96</v>
      </c>
    </row>
    <row r="60" spans="1:87" ht="12.75" hidden="1" customHeight="1" outlineLevel="1">
      <c r="A60" s="310"/>
      <c r="B60" s="505"/>
      <c r="C60" s="506"/>
      <c r="D60" s="62"/>
      <c r="E60" s="62"/>
      <c r="F60" s="247"/>
      <c r="G60" s="65"/>
      <c r="H60" s="65"/>
      <c r="I60" s="65"/>
      <c r="J60" s="65"/>
      <c r="K60" s="66"/>
      <c r="L60" s="285"/>
      <c r="M60" s="252"/>
      <c r="N60" s="252"/>
      <c r="O60" s="71"/>
      <c r="P60" s="71"/>
      <c r="Q60" s="71"/>
      <c r="R60" s="71"/>
      <c r="S60" s="249"/>
      <c r="T60" s="64"/>
      <c r="U60" s="70"/>
      <c r="V60" s="508"/>
      <c r="W60" s="71"/>
      <c r="X60" s="508"/>
      <c r="Y60" s="64"/>
      <c r="Z60" s="70"/>
      <c r="AA60" s="508"/>
      <c r="AB60" s="71"/>
      <c r="AC60" s="72"/>
      <c r="AD60" s="274" t="s">
        <v>96</v>
      </c>
      <c r="AE60" s="135"/>
      <c r="AF60" s="135"/>
      <c r="AG60" s="135"/>
      <c r="AH60" s="74"/>
      <c r="AI60" s="75"/>
      <c r="AJ60" s="276"/>
      <c r="AK60" s="77"/>
      <c r="AL60" s="77"/>
      <c r="AM60" s="74"/>
      <c r="AN60" s="75"/>
      <c r="AO60" s="78"/>
      <c r="AP60" s="74"/>
      <c r="AQ60" s="74"/>
      <c r="AR60" s="74"/>
      <c r="AS60" s="112"/>
      <c r="AT60" s="68"/>
      <c r="AU60" s="68"/>
      <c r="AV60" s="68"/>
      <c r="AW60" s="68"/>
      <c r="AX60" s="373"/>
      <c r="AY60" s="83" t="s">
        <v>84</v>
      </c>
      <c r="AZ60" s="311" t="str">
        <f>IF(AP60&lt;1,"-",AP60-BU60)</f>
        <v>-</v>
      </c>
      <c r="BA60" s="63" t="str">
        <f>IF(AZ60="-","-",($B$2-AO60+1)*AZ60)</f>
        <v>-</v>
      </c>
      <c r="BB60" s="63" t="str">
        <f>IF(AZ60="-","-",AZ60-H60)</f>
        <v>-</v>
      </c>
      <c r="BC60" s="312" t="str">
        <f>IF(AZ60="-","-",AZ60/H60)</f>
        <v>-</v>
      </c>
      <c r="BD60" s="139">
        <f>IF(AP60&lt;1,IF($B$2&gt;=A60,($A$2-A60+1)*-1*H60,"-"),AZ60*($A$2-AO60+1)-H60*($A$2-A60+1))</f>
        <v>0</v>
      </c>
      <c r="BE60" s="509"/>
      <c r="BF60" s="510"/>
      <c r="BG60" s="513"/>
      <c r="BH60" s="94"/>
      <c r="BI60" s="91"/>
      <c r="BJ60" s="91"/>
      <c r="BK60" s="91"/>
      <c r="BL60" s="91"/>
      <c r="BM60" s="91"/>
      <c r="BN60" s="91" t="str">
        <f t="shared" si="2"/>
        <v>-</v>
      </c>
      <c r="BO60" s="91" t="str">
        <f t="shared" si="2"/>
        <v>-</v>
      </c>
      <c r="BP60" s="94" t="str">
        <f>IF(BN60="-","-",AZ60+BN60)</f>
        <v>-</v>
      </c>
      <c r="BQ60" s="95" t="str">
        <f>IF(BN60="-","-",(($B$2-AO60+1)*(AZ60+BN60)))</f>
        <v>-</v>
      </c>
      <c r="BR60" s="130"/>
      <c r="BS60" s="131"/>
      <c r="BT60" s="131"/>
      <c r="BU60" s="1922"/>
      <c r="BV60" s="99" t="str">
        <f t="shared" si="6"/>
        <v/>
      </c>
      <c r="BW60" s="284"/>
      <c r="BX60" s="214"/>
      <c r="BY60" s="214"/>
      <c r="BZ60" s="101" t="e">
        <f>NA()</f>
        <v>#N/A</v>
      </c>
      <c r="CA60" s="102" t="e">
        <f>NA()</f>
        <v>#N/A</v>
      </c>
      <c r="CB60" s="103" t="e">
        <f t="shared" si="3"/>
        <v>#VALUE!</v>
      </c>
      <c r="CC60" s="104" t="e">
        <f t="shared" si="4"/>
        <v>#N/A</v>
      </c>
      <c r="CD60" s="105" t="e">
        <f t="shared" si="5"/>
        <v>#N/A</v>
      </c>
      <c r="CE60" s="106"/>
      <c r="CF60" s="107"/>
      <c r="CG60" s="108"/>
      <c r="CH60" s="377"/>
      <c r="CI60" s="512" t="s">
        <v>96</v>
      </c>
    </row>
    <row r="61" spans="1:87" ht="12.75" hidden="1" customHeight="1" outlineLevel="1">
      <c r="A61" s="310"/>
      <c r="B61" s="505"/>
      <c r="C61" s="506"/>
      <c r="D61" s="62"/>
      <c r="E61" s="62"/>
      <c r="F61" s="247"/>
      <c r="G61" s="65"/>
      <c r="H61" s="65"/>
      <c r="I61" s="65"/>
      <c r="J61" s="65"/>
      <c r="K61" s="66"/>
      <c r="L61" s="285"/>
      <c r="M61" s="252"/>
      <c r="N61" s="252"/>
      <c r="O61" s="71"/>
      <c r="P61" s="71"/>
      <c r="Q61" s="71"/>
      <c r="R61" s="71"/>
      <c r="S61" s="249"/>
      <c r="T61" s="64"/>
      <c r="U61" s="70"/>
      <c r="V61" s="508"/>
      <c r="W61" s="71"/>
      <c r="X61" s="508"/>
      <c r="Y61" s="64"/>
      <c r="Z61" s="70"/>
      <c r="AA61" s="508"/>
      <c r="AB61" s="71"/>
      <c r="AC61" s="72"/>
      <c r="AD61" s="274" t="s">
        <v>96</v>
      </c>
      <c r="AE61" s="135"/>
      <c r="AF61" s="135"/>
      <c r="AG61" s="135"/>
      <c r="AH61" s="74"/>
      <c r="AI61" s="75"/>
      <c r="AJ61" s="276"/>
      <c r="AK61" s="77"/>
      <c r="AL61" s="77"/>
      <c r="AM61" s="74"/>
      <c r="AN61" s="75"/>
      <c r="AO61" s="78"/>
      <c r="AP61" s="74"/>
      <c r="AQ61" s="74"/>
      <c r="AR61" s="74"/>
      <c r="AS61" s="112"/>
      <c r="AT61" s="68"/>
      <c r="AU61" s="68"/>
      <c r="AV61" s="68"/>
      <c r="AW61" s="68"/>
      <c r="AX61" s="373"/>
      <c r="AY61" s="83" t="s">
        <v>84</v>
      </c>
      <c r="AZ61" s="311" t="str">
        <f>IF(AP61&lt;1,"-",AP61-BU61)</f>
        <v>-</v>
      </c>
      <c r="BA61" s="63" t="str">
        <f>IF(AZ61="-","-",($B$2-AO61+1)*AZ61)</f>
        <v>-</v>
      </c>
      <c r="BB61" s="63" t="str">
        <f>IF(AZ61="-","-",AZ61-H61)</f>
        <v>-</v>
      </c>
      <c r="BC61" s="312" t="str">
        <f>IF(AZ61="-","-",AZ61/H61)</f>
        <v>-</v>
      </c>
      <c r="BD61" s="139">
        <f>IF(AP61&lt;1,IF($B$2&gt;=A61,($A$2-A61+1)*-1*H61,"-"),AZ61*($A$2-AO61+1)-H61*($A$2-A61+1))</f>
        <v>0</v>
      </c>
      <c r="BE61" s="509"/>
      <c r="BF61" s="510"/>
      <c r="BG61" s="513"/>
      <c r="BH61" s="94"/>
      <c r="BI61" s="91"/>
      <c r="BJ61" s="91"/>
      <c r="BK61" s="91"/>
      <c r="BL61" s="91"/>
      <c r="BM61" s="91"/>
      <c r="BN61" s="91" t="str">
        <f t="shared" si="2"/>
        <v>-</v>
      </c>
      <c r="BO61" s="91" t="str">
        <f t="shared" si="2"/>
        <v>-</v>
      </c>
      <c r="BP61" s="94" t="str">
        <f>IF(BN61="-","-",AZ61+BN61)</f>
        <v>-</v>
      </c>
      <c r="BQ61" s="95" t="str">
        <f>IF(BN61="-","-",(($B$2-AO61+1)*(AZ61+BN61)))</f>
        <v>-</v>
      </c>
      <c r="BR61" s="130"/>
      <c r="BS61" s="131"/>
      <c r="BT61" s="131"/>
      <c r="BU61" s="1922"/>
      <c r="BV61" s="99" t="str">
        <f t="shared" si="6"/>
        <v/>
      </c>
      <c r="BW61" s="284"/>
      <c r="BX61" s="214"/>
      <c r="BY61" s="214"/>
      <c r="BZ61" s="101" t="e">
        <f>NA()</f>
        <v>#N/A</v>
      </c>
      <c r="CA61" s="102" t="e">
        <f>NA()</f>
        <v>#N/A</v>
      </c>
      <c r="CB61" s="103" t="e">
        <f t="shared" si="3"/>
        <v>#VALUE!</v>
      </c>
      <c r="CC61" s="104" t="e">
        <f t="shared" si="4"/>
        <v>#N/A</v>
      </c>
      <c r="CD61" s="105" t="e">
        <f t="shared" si="5"/>
        <v>#N/A</v>
      </c>
      <c r="CE61" s="106"/>
      <c r="CF61" s="107"/>
      <c r="CG61" s="108"/>
      <c r="CH61" s="377"/>
      <c r="CI61" s="512" t="s">
        <v>96</v>
      </c>
    </row>
    <row r="62" spans="1:87" ht="12.75" hidden="1" customHeight="1" outlineLevel="1">
      <c r="A62" s="310"/>
      <c r="B62" s="505"/>
      <c r="C62" s="506"/>
      <c r="D62" s="62"/>
      <c r="E62" s="62"/>
      <c r="F62" s="247"/>
      <c r="G62" s="65"/>
      <c r="H62" s="65"/>
      <c r="I62" s="65"/>
      <c r="J62" s="65"/>
      <c r="K62" s="66"/>
      <c r="L62" s="285"/>
      <c r="M62" s="252"/>
      <c r="N62" s="252"/>
      <c r="O62" s="71"/>
      <c r="P62" s="71"/>
      <c r="Q62" s="71"/>
      <c r="R62" s="71"/>
      <c r="S62" s="249"/>
      <c r="T62" s="64"/>
      <c r="U62" s="70"/>
      <c r="V62" s="508"/>
      <c r="W62" s="71"/>
      <c r="X62" s="508"/>
      <c r="Y62" s="64"/>
      <c r="Z62" s="70"/>
      <c r="AA62" s="508"/>
      <c r="AB62" s="71"/>
      <c r="AC62" s="72"/>
      <c r="AD62" s="274" t="s">
        <v>96</v>
      </c>
      <c r="AE62" s="135"/>
      <c r="AF62" s="135"/>
      <c r="AG62" s="135"/>
      <c r="AH62" s="74"/>
      <c r="AI62" s="75"/>
      <c r="AJ62" s="276"/>
      <c r="AK62" s="77"/>
      <c r="AL62" s="77"/>
      <c r="AM62" s="74"/>
      <c r="AN62" s="75"/>
      <c r="AO62" s="78"/>
      <c r="AP62" s="74"/>
      <c r="AQ62" s="74"/>
      <c r="AR62" s="74"/>
      <c r="AS62" s="112"/>
      <c r="AT62" s="68"/>
      <c r="AU62" s="68"/>
      <c r="AV62" s="68"/>
      <c r="AW62" s="68"/>
      <c r="AX62" s="373"/>
      <c r="AY62" s="89" t="s">
        <v>97</v>
      </c>
      <c r="AZ62" s="311"/>
      <c r="BA62" s="63"/>
      <c r="BB62" s="63"/>
      <c r="BC62" s="312"/>
      <c r="BD62" s="139"/>
      <c r="BE62" s="509"/>
      <c r="BF62" s="510"/>
      <c r="BG62" s="513"/>
      <c r="BH62" s="94"/>
      <c r="BI62" s="91"/>
      <c r="BJ62" s="91"/>
      <c r="BK62" s="91"/>
      <c r="BL62" s="91"/>
      <c r="BM62" s="91"/>
      <c r="BN62" s="91"/>
      <c r="BO62" s="91"/>
      <c r="BP62" s="94"/>
      <c r="BQ62" s="95"/>
      <c r="BR62" s="130"/>
      <c r="BS62" s="131"/>
      <c r="BT62" s="131"/>
      <c r="BU62" s="1922"/>
      <c r="BV62" s="99" t="str">
        <f t="shared" si="6"/>
        <v/>
      </c>
      <c r="BW62" s="284"/>
      <c r="BX62" s="214"/>
      <c r="BY62" s="214"/>
      <c r="BZ62" s="101" t="e">
        <f>NA()</f>
        <v>#N/A</v>
      </c>
      <c r="CA62" s="102" t="e">
        <f>NA()</f>
        <v>#N/A</v>
      </c>
      <c r="CB62" s="103">
        <f t="shared" si="3"/>
        <v>0</v>
      </c>
      <c r="CC62" s="104" t="e">
        <f t="shared" si="4"/>
        <v>#N/A</v>
      </c>
      <c r="CD62" s="105" t="e">
        <f t="shared" si="5"/>
        <v>#N/A</v>
      </c>
      <c r="CE62" s="106"/>
      <c r="CF62" s="107"/>
      <c r="CG62" s="108"/>
      <c r="CH62" s="377"/>
      <c r="CI62" s="512" t="s">
        <v>96</v>
      </c>
    </row>
    <row r="63" spans="1:87" ht="12.75" hidden="1" customHeight="1" outlineLevel="1">
      <c r="A63" s="386"/>
      <c r="B63" s="505"/>
      <c r="C63" s="505"/>
      <c r="D63" s="247"/>
      <c r="E63" s="270"/>
      <c r="F63" s="270"/>
      <c r="G63" s="65"/>
      <c r="H63" s="80"/>
      <c r="I63" s="80"/>
      <c r="J63" s="80"/>
      <c r="K63" s="66"/>
      <c r="L63" s="285"/>
      <c r="M63" s="63"/>
      <c r="N63" s="71"/>
      <c r="O63" s="71"/>
      <c r="P63" s="71"/>
      <c r="Q63" s="71"/>
      <c r="R63" s="71"/>
      <c r="S63" s="273"/>
      <c r="T63" s="63"/>
      <c r="U63" s="71"/>
      <c r="V63" s="287"/>
      <c r="W63" s="71"/>
      <c r="X63" s="71"/>
      <c r="Y63" s="63"/>
      <c r="Z63" s="71"/>
      <c r="AA63" s="287"/>
      <c r="AB63" s="71"/>
      <c r="AC63" s="72"/>
      <c r="AD63" s="274"/>
      <c r="AE63" s="135"/>
      <c r="AF63" s="135"/>
      <c r="AG63" s="135"/>
      <c r="AH63" s="74"/>
      <c r="AI63" s="75"/>
      <c r="AJ63" s="276"/>
      <c r="AK63" s="77"/>
      <c r="AL63" s="77"/>
      <c r="AM63" s="74"/>
      <c r="AN63" s="75"/>
      <c r="AO63" s="78"/>
      <c r="AP63" s="74"/>
      <c r="AQ63" s="256"/>
      <c r="AR63" s="74"/>
      <c r="AS63" s="112"/>
      <c r="AT63" s="247"/>
      <c r="AU63" s="247"/>
      <c r="AV63" s="247"/>
      <c r="AW63" s="317"/>
      <c r="AX63" s="258"/>
      <c r="AY63" s="514"/>
      <c r="AZ63" s="84"/>
      <c r="BA63" s="64"/>
      <c r="BB63" s="64"/>
      <c r="BC63" s="515"/>
      <c r="BD63" s="516"/>
      <c r="BE63" s="455"/>
      <c r="BF63" s="375"/>
      <c r="BG63" s="517"/>
      <c r="BH63" s="91"/>
      <c r="BI63" s="91"/>
      <c r="BJ63" s="93"/>
      <c r="BK63" s="91"/>
      <c r="BL63" s="93"/>
      <c r="BM63" s="93"/>
      <c r="BN63" s="91"/>
      <c r="BO63" s="91"/>
      <c r="BP63" s="94"/>
      <c r="BQ63" s="95"/>
      <c r="BR63" s="130"/>
      <c r="BS63" s="131"/>
      <c r="BT63" s="131"/>
      <c r="BU63" s="1922"/>
      <c r="BV63" s="99" t="str">
        <f t="shared" si="6"/>
        <v/>
      </c>
      <c r="BW63" s="284"/>
      <c r="BX63" s="214"/>
      <c r="BY63" s="214"/>
      <c r="BZ63" s="101"/>
      <c r="CA63" s="102"/>
      <c r="CB63" s="103"/>
      <c r="CC63" s="104"/>
      <c r="CD63" s="105"/>
      <c r="CE63" s="101"/>
      <c r="CF63" s="102"/>
      <c r="CG63" s="103"/>
      <c r="CH63" s="518"/>
      <c r="CI63" s="512" t="s">
        <v>96</v>
      </c>
    </row>
    <row r="64" spans="1:87" ht="12.75" hidden="1" customHeight="1" outlineLevel="1">
      <c r="A64" s="484"/>
      <c r="B64" s="505"/>
      <c r="C64" s="505"/>
      <c r="D64" s="247"/>
      <c r="E64" s="270"/>
      <c r="F64" s="270"/>
      <c r="G64" s="65"/>
      <c r="H64" s="80"/>
      <c r="I64" s="80"/>
      <c r="J64" s="80"/>
      <c r="K64" s="66"/>
      <c r="L64" s="285"/>
      <c r="M64" s="252"/>
      <c r="N64" s="519"/>
      <c r="O64" s="520"/>
      <c r="P64" s="520"/>
      <c r="Q64" s="520"/>
      <c r="R64" s="520"/>
      <c r="S64" s="249"/>
      <c r="T64" s="64"/>
      <c r="U64" s="70"/>
      <c r="V64" s="508"/>
      <c r="W64" s="71"/>
      <c r="X64" s="508"/>
      <c r="Y64" s="64"/>
      <c r="Z64" s="70"/>
      <c r="AA64" s="508"/>
      <c r="AB64" s="71"/>
      <c r="AC64" s="72"/>
      <c r="AD64" s="274"/>
      <c r="AE64" s="73"/>
      <c r="AF64" s="135"/>
      <c r="AG64" s="135"/>
      <c r="AH64" s="74"/>
      <c r="AI64" s="75"/>
      <c r="AJ64" s="276"/>
      <c r="AK64" s="77"/>
      <c r="AL64" s="77"/>
      <c r="AM64" s="74"/>
      <c r="AN64" s="75"/>
      <c r="AO64" s="78"/>
      <c r="AP64" s="74"/>
      <c r="AQ64" s="256"/>
      <c r="AR64" s="74"/>
      <c r="AS64" s="112"/>
      <c r="AT64" s="247"/>
      <c r="AU64" s="247"/>
      <c r="AV64" s="247"/>
      <c r="AW64" s="317"/>
      <c r="AX64" s="258"/>
      <c r="AY64" s="514"/>
      <c r="AZ64" s="84"/>
      <c r="BA64" s="64"/>
      <c r="BB64" s="64"/>
      <c r="BC64" s="515"/>
      <c r="BD64" s="516"/>
      <c r="BE64" s="455"/>
      <c r="BF64" s="375"/>
      <c r="BG64" s="517"/>
      <c r="BH64" s="91"/>
      <c r="BI64" s="91"/>
      <c r="BJ64" s="93"/>
      <c r="BK64" s="91"/>
      <c r="BL64" s="93"/>
      <c r="BM64" s="93"/>
      <c r="BN64" s="91"/>
      <c r="BO64" s="91"/>
      <c r="BP64" s="94"/>
      <c r="BQ64" s="95"/>
      <c r="BR64" s="130"/>
      <c r="BS64" s="131"/>
      <c r="BT64" s="131"/>
      <c r="BU64" s="1922"/>
      <c r="BV64" s="99"/>
      <c r="BW64" s="284"/>
      <c r="BX64" s="214"/>
      <c r="BY64" s="214"/>
      <c r="BZ64" s="521"/>
      <c r="CA64" s="522"/>
      <c r="CB64" s="218"/>
      <c r="CC64" s="523"/>
      <c r="CD64" s="524"/>
      <c r="CE64" s="101"/>
      <c r="CF64" s="102"/>
      <c r="CG64" s="103"/>
      <c r="CH64" s="518"/>
      <c r="CI64" s="512"/>
    </row>
    <row r="65" spans="1:89" ht="12.75" hidden="1" customHeight="1" outlineLevel="1">
      <c r="A65" s="525"/>
      <c r="B65" s="505"/>
      <c r="C65" s="505"/>
      <c r="D65" s="62"/>
      <c r="E65" s="62"/>
      <c r="F65" s="270"/>
      <c r="G65" s="65"/>
      <c r="H65" s="80"/>
      <c r="I65" s="80"/>
      <c r="J65" s="80"/>
      <c r="K65" s="66"/>
      <c r="L65" s="380"/>
      <c r="M65" s="68"/>
      <c r="N65" s="252"/>
      <c r="O65" s="71"/>
      <c r="P65" s="71"/>
      <c r="Q65" s="71"/>
      <c r="R65" s="71"/>
      <c r="S65" s="273"/>
      <c r="T65" s="63"/>
      <c r="U65" s="71"/>
      <c r="V65" s="71"/>
      <c r="W65" s="71"/>
      <c r="X65" s="71"/>
      <c r="Y65" s="63"/>
      <c r="Z65" s="71"/>
      <c r="AA65" s="71"/>
      <c r="AB65" s="71"/>
      <c r="AC65" s="72"/>
      <c r="AD65" s="274"/>
      <c r="AE65" s="276"/>
      <c r="AF65" s="275"/>
      <c r="AG65" s="275"/>
      <c r="AH65" s="252"/>
      <c r="AI65" s="75"/>
      <c r="AJ65" s="276"/>
      <c r="AK65" s="77"/>
      <c r="AL65" s="77"/>
      <c r="AM65" s="74"/>
      <c r="AN65" s="75"/>
      <c r="AO65" s="78"/>
      <c r="AP65" s="74"/>
      <c r="AQ65" s="256"/>
      <c r="AR65" s="74"/>
      <c r="AS65" s="112"/>
      <c r="AT65" s="247"/>
      <c r="AU65" s="247"/>
      <c r="AV65" s="247"/>
      <c r="AW65" s="317"/>
      <c r="AX65" s="258"/>
      <c r="AY65" s="514"/>
      <c r="AZ65" s="84"/>
      <c r="BA65" s="64"/>
      <c r="BB65" s="64"/>
      <c r="BC65" s="515"/>
      <c r="BD65" s="516"/>
      <c r="BE65" s="526"/>
      <c r="BF65" s="527"/>
      <c r="BG65" s="528"/>
      <c r="BH65" s="529"/>
      <c r="BI65" s="530"/>
      <c r="BJ65" s="530"/>
      <c r="BK65" s="530"/>
      <c r="BL65" s="531"/>
      <c r="BM65" s="530"/>
      <c r="BN65" s="123"/>
      <c r="BO65" s="123"/>
      <c r="BP65" s="280"/>
      <c r="BQ65" s="280"/>
      <c r="BR65" s="96"/>
      <c r="BS65" s="97"/>
      <c r="BT65" s="97"/>
      <c r="BU65" s="1921"/>
      <c r="BV65" s="100"/>
      <c r="BW65" s="532"/>
      <c r="BX65" s="97"/>
      <c r="BY65" s="533"/>
      <c r="BZ65" s="101"/>
      <c r="CA65" s="102"/>
      <c r="CB65" s="103"/>
      <c r="CC65" s="125"/>
      <c r="CD65" s="105"/>
      <c r="CE65" s="133"/>
      <c r="CF65" s="102"/>
      <c r="CG65" s="103"/>
      <c r="CH65" s="534"/>
      <c r="CI65" s="512"/>
    </row>
    <row r="66" spans="1:89" ht="21" hidden="1" customHeight="1" outlineLevel="1" collapsed="1">
      <c r="A66" s="148" t="s">
        <v>86</v>
      </c>
      <c r="B66" s="149">
        <f>COUNTIF(A57:A65,$B$1)</f>
        <v>0</v>
      </c>
      <c r="C66" s="150"/>
      <c r="D66" s="151"/>
      <c r="E66" s="151"/>
      <c r="F66" s="151"/>
      <c r="G66" s="152">
        <f>SUMIF(A57:A65,$B$1,G57:G65)</f>
        <v>0</v>
      </c>
      <c r="H66" s="152">
        <f>SUMIF(A57:A65,$B$1,H57:H65)</f>
        <v>0</v>
      </c>
      <c r="I66" s="152">
        <f>SUM(I57:I65)</f>
        <v>0</v>
      </c>
      <c r="J66" s="152"/>
      <c r="K66" s="152"/>
      <c r="L66" s="153">
        <f>SUMIF(A57:A65,$B$1,L57:L65)</f>
        <v>0</v>
      </c>
      <c r="M66" s="152"/>
      <c r="N66" s="152"/>
      <c r="O66" s="152"/>
      <c r="P66" s="152"/>
      <c r="Q66" s="152"/>
      <c r="R66" s="152"/>
      <c r="S66" s="152"/>
      <c r="T66" s="152">
        <f>SUMIF(A57:A65,$B$1,T57:T65)</f>
        <v>0</v>
      </c>
      <c r="U66" s="152">
        <f>SUMIF(A57:A65,$B$1,U57:U65)</f>
        <v>0</v>
      </c>
      <c r="V66" s="151"/>
      <c r="W66" s="151"/>
      <c r="X66" s="151"/>
      <c r="Y66" s="152">
        <f>SUMIF(G57:G65,$B$1,Y57:Y65)</f>
        <v>0</v>
      </c>
      <c r="Z66" s="152">
        <f>SUMIF(G57:G65,$B$1,Z57:Z65)</f>
        <v>0</v>
      </c>
      <c r="AA66" s="151"/>
      <c r="AB66" s="151"/>
      <c r="AC66" s="151"/>
      <c r="AD66" s="151"/>
      <c r="AE66" s="154"/>
      <c r="AF66" s="155"/>
      <c r="AG66" s="156"/>
      <c r="AH66" s="152"/>
      <c r="AI66" s="157"/>
      <c r="AJ66" s="296"/>
      <c r="AK66" s="156"/>
      <c r="AL66" s="156"/>
      <c r="AM66" s="152"/>
      <c r="AN66" s="157"/>
      <c r="AO66" s="297">
        <f>COUNTA(AO57:AO65)</f>
        <v>0</v>
      </c>
      <c r="AP66" s="152">
        <f>SUM(AP57:AP65)</f>
        <v>0</v>
      </c>
      <c r="AQ66" s="152">
        <f>SUM(AQ57:AQ65)</f>
        <v>0</v>
      </c>
      <c r="AR66" s="161"/>
      <c r="AS66" s="151"/>
      <c r="AT66" s="151"/>
      <c r="AU66" s="151"/>
      <c r="AV66" s="151"/>
      <c r="AW66" s="151"/>
      <c r="AX66" s="151"/>
      <c r="AY66" s="151"/>
      <c r="AZ66" s="163">
        <f>SUM(AZ57:AZ65)</f>
        <v>0</v>
      </c>
      <c r="BA66" s="163">
        <f>SUM(BA57:BA65)</f>
        <v>0</v>
      </c>
      <c r="BB66" s="163">
        <f>SUM(BB57:BB65)</f>
        <v>0</v>
      </c>
      <c r="BC66" s="221" t="str">
        <f>IF(COUNT(BC57:BC65)=0,"-",AVERAGE(BC57:BC65))</f>
        <v>-</v>
      </c>
      <c r="BD66" s="165"/>
      <c r="BE66" s="340"/>
      <c r="BF66" s="340"/>
      <c r="BG66" s="341"/>
      <c r="BH66" s="341"/>
      <c r="BI66" s="341"/>
      <c r="BJ66" s="341"/>
      <c r="BK66" s="341"/>
      <c r="BL66" s="341"/>
      <c r="BM66" s="341"/>
      <c r="BN66" s="341"/>
      <c r="BO66" s="341"/>
      <c r="BP66" s="167"/>
      <c r="BQ66" s="167"/>
      <c r="BR66" s="496"/>
      <c r="BS66" s="497"/>
      <c r="BT66" s="470"/>
      <c r="BU66" s="1927"/>
      <c r="BV66" s="498"/>
      <c r="BW66" s="496"/>
      <c r="BX66" s="462">
        <f>SUM(BX57)</f>
        <v>0</v>
      </c>
      <c r="BY66" s="463"/>
      <c r="BZ66" s="171"/>
      <c r="CA66" s="172"/>
      <c r="CB66" s="173">
        <f>AO66</f>
        <v>0</v>
      </c>
      <c r="CC66" s="173">
        <f>COUNTIF(CC57:CC65,"=0")</f>
        <v>0</v>
      </c>
      <c r="CD66" s="174">
        <f>SUM(COUNTIF(CC57:CC65,"&lt;0"),COUNTIF(CC57:CC65,"&gt;0"))</f>
        <v>0</v>
      </c>
      <c r="CE66" s="225"/>
      <c r="CF66" s="226"/>
      <c r="CG66" s="227"/>
      <c r="CH66" s="228"/>
      <c r="CI66" s="178"/>
    </row>
    <row r="67" spans="1:89" ht="21" hidden="1" customHeight="1" outlineLevel="1">
      <c r="A67" s="179" t="s">
        <v>87</v>
      </c>
      <c r="B67" s="348">
        <f>COUNT(A57:A65)</f>
        <v>0</v>
      </c>
      <c r="C67" s="181"/>
      <c r="D67" s="182"/>
      <c r="E67" s="182"/>
      <c r="F67" s="182"/>
      <c r="G67" s="184">
        <f>SUM(G57:G65)</f>
        <v>0</v>
      </c>
      <c r="H67" s="184">
        <f>SUMIF(A57:A65,"&gt;0",H57:H65)</f>
        <v>0</v>
      </c>
      <c r="I67" s="184"/>
      <c r="J67" s="184">
        <f>SUM(J57:J65)</f>
        <v>0</v>
      </c>
      <c r="K67" s="184"/>
      <c r="L67" s="184"/>
      <c r="M67" s="184"/>
      <c r="N67" s="184"/>
      <c r="O67" s="184"/>
      <c r="P67" s="184"/>
      <c r="Q67" s="184"/>
      <c r="R67" s="184"/>
      <c r="S67" s="185"/>
      <c r="T67" s="185">
        <f>SUMIF(AG57:AG65,"перех.",T57:T65)</f>
        <v>0</v>
      </c>
      <c r="U67" s="185"/>
      <c r="V67" s="182"/>
      <c r="W67" s="182"/>
      <c r="X67" s="182"/>
      <c r="Y67" s="185">
        <f>SUMIF(AM57:AM65,"перех.",Y57:Y65)</f>
        <v>0</v>
      </c>
      <c r="Z67" s="185"/>
      <c r="AA67" s="182"/>
      <c r="AB67" s="182"/>
      <c r="AC67" s="182"/>
      <c r="AD67" s="182"/>
      <c r="AE67" s="186"/>
      <c r="AF67" s="186"/>
      <c r="AG67" s="186"/>
      <c r="AH67" s="184">
        <f>COUNT(AI57:AI65)</f>
        <v>0</v>
      </c>
      <c r="AI67" s="184">
        <f>SUM(AI57:AI65)</f>
        <v>0</v>
      </c>
      <c r="AJ67" s="186"/>
      <c r="AK67" s="186"/>
      <c r="AL67" s="186"/>
      <c r="AM67" s="184"/>
      <c r="AN67" s="184">
        <f>SUM(AN57:AN65)</f>
        <v>0</v>
      </c>
      <c r="AO67" s="182"/>
      <c r="AP67" s="182"/>
      <c r="AQ67" s="182"/>
      <c r="AR67" s="187"/>
      <c r="AS67" s="182"/>
      <c r="AT67" s="182"/>
      <c r="AU67" s="182"/>
      <c r="AV67" s="182"/>
      <c r="AW67" s="182"/>
      <c r="AX67" s="182"/>
      <c r="AY67" s="182"/>
      <c r="AZ67" s="182"/>
      <c r="BA67" s="182"/>
      <c r="BB67" s="182"/>
      <c r="BC67" s="182"/>
      <c r="BD67" s="188">
        <f>SUM(BD57:BD65)</f>
        <v>0</v>
      </c>
      <c r="BE67" s="535"/>
      <c r="BF67" s="535"/>
      <c r="BG67" s="476"/>
      <c r="BH67" s="476"/>
      <c r="BI67" s="476"/>
      <c r="BJ67" s="476"/>
      <c r="BK67" s="476"/>
      <c r="BL67" s="476"/>
      <c r="BM67" s="476"/>
      <c r="BN67" s="476"/>
      <c r="BO67" s="476"/>
      <c r="BP67" s="308"/>
      <c r="BQ67" s="191"/>
      <c r="BR67" s="471"/>
      <c r="BS67" s="472"/>
      <c r="BT67" s="472"/>
      <c r="BU67" s="1926"/>
      <c r="BV67" s="1914"/>
      <c r="BW67" s="471"/>
      <c r="BX67" s="472"/>
      <c r="BY67" s="473"/>
      <c r="BZ67" s="195"/>
      <c r="CA67" s="196"/>
      <c r="CB67" s="197" t="e">
        <f>SUM(CB57:CB65)</f>
        <v>#VALUE!</v>
      </c>
      <c r="CC67" s="197">
        <f>SUMIF(CC57:CC65,"=0",CD57:CD65)</f>
        <v>0</v>
      </c>
      <c r="CD67" s="198" t="e">
        <f>SUMIF(CC57:CC65,"&lt;&gt;0",CD57:CD65)</f>
        <v>#N/A</v>
      </c>
      <c r="CE67" s="477"/>
      <c r="CF67" s="308"/>
      <c r="CG67" s="308"/>
      <c r="CH67" s="237"/>
      <c r="CI67" s="202"/>
    </row>
    <row r="68" spans="1:89" ht="33" hidden="1" customHeight="1" outlineLevel="1" collapsed="1">
      <c r="A68" s="2144" t="s">
        <v>98</v>
      </c>
      <c r="B68" s="2144"/>
      <c r="C68" s="2144"/>
      <c r="D68" s="2144"/>
      <c r="E68" s="2144"/>
      <c r="F68" s="21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3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5"/>
      <c r="BE68" s="45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78"/>
      <c r="BQ68" s="47"/>
      <c r="BR68" s="96"/>
      <c r="BS68" s="97"/>
      <c r="BT68" s="97"/>
      <c r="BU68" s="100"/>
      <c r="BV68" s="100"/>
      <c r="BW68" s="96"/>
      <c r="BX68" s="97"/>
      <c r="BY68" s="100"/>
      <c r="BZ68" s="52"/>
      <c r="CA68" s="53"/>
      <c r="CB68" s="53"/>
      <c r="CC68" s="53"/>
      <c r="CD68" s="206"/>
      <c r="CE68" s="483"/>
      <c r="CF68" s="478"/>
      <c r="CG68" s="478"/>
      <c r="CH68" s="47"/>
      <c r="CI68" s="246"/>
    </row>
    <row r="69" spans="1:89" ht="33" hidden="1" customHeight="1" outlineLevel="1">
      <c r="A69" s="484"/>
      <c r="B69" s="505"/>
      <c r="C69" s="505"/>
      <c r="D69" s="612"/>
      <c r="E69" s="62"/>
      <c r="F69" s="247"/>
      <c r="G69" s="64"/>
      <c r="H69" s="80"/>
      <c r="I69" s="80"/>
      <c r="J69" s="80"/>
      <c r="K69" s="271"/>
      <c r="L69" s="67"/>
      <c r="M69" s="68"/>
      <c r="N69" s="68"/>
      <c r="O69" s="287"/>
      <c r="P69" s="70"/>
      <c r="Q69" s="70"/>
      <c r="R69" s="70"/>
      <c r="S69" s="249"/>
      <c r="T69" s="250"/>
      <c r="U69" s="70"/>
      <c r="V69" s="70"/>
      <c r="W69" s="70"/>
      <c r="X69" s="70"/>
      <c r="Y69" s="64"/>
      <c r="Z69" s="70"/>
      <c r="AA69" s="372"/>
      <c r="AB69" s="70"/>
      <c r="AC69" s="251"/>
      <c r="AD69" s="274"/>
      <c r="AE69" s="135"/>
      <c r="AF69" s="135"/>
      <c r="AG69" s="135"/>
      <c r="AH69" s="252"/>
      <c r="AI69" s="75"/>
      <c r="AJ69" s="73"/>
      <c r="AK69" s="77"/>
      <c r="AL69" s="77"/>
      <c r="AM69" s="74"/>
      <c r="AN69" s="75"/>
      <c r="AO69" s="78"/>
      <c r="AP69" s="74"/>
      <c r="AQ69" s="256"/>
      <c r="AR69" s="257"/>
      <c r="AS69" s="112"/>
      <c r="AT69" s="247"/>
      <c r="AU69" s="247"/>
      <c r="AV69" s="247"/>
      <c r="AW69" s="68"/>
      <c r="AX69" s="258"/>
      <c r="AY69" s="83"/>
      <c r="AZ69" s="311"/>
      <c r="BA69" s="64"/>
      <c r="BB69" s="63"/>
      <c r="BC69" s="86"/>
      <c r="BD69" s="313"/>
      <c r="BE69" s="259"/>
      <c r="BF69" s="260"/>
      <c r="BG69" s="261"/>
      <c r="BH69" s="146"/>
      <c r="BI69" s="143"/>
      <c r="BJ69" s="143"/>
      <c r="BK69" s="143"/>
      <c r="BL69" s="143"/>
      <c r="BM69" s="143"/>
      <c r="BN69" s="145" t="str">
        <f>IF(BH69=0,"-",BH69-AP69)</f>
        <v>-</v>
      </c>
      <c r="BO69" s="262" t="str">
        <f>IF(BI69=0,"-",BI69-AQ69)</f>
        <v>-</v>
      </c>
      <c r="BP69" s="263" t="str">
        <f>IF(BN69="-","-",AZ69+BN69)</f>
        <v>-</v>
      </c>
      <c r="BQ69" s="264" t="str">
        <f>IF(BN69="-","-",(($B$2-AO69+1)*(AZ69+BN69)))</f>
        <v>-</v>
      </c>
      <c r="BR69" s="315"/>
      <c r="BS69" s="214"/>
      <c r="BT69" s="131"/>
      <c r="BU69" s="1923"/>
      <c r="BV69" s="99"/>
      <c r="BW69" s="215"/>
      <c r="BX69" s="214"/>
      <c r="BY69" s="621"/>
      <c r="BZ69" s="101"/>
      <c r="CA69" s="102"/>
      <c r="CB69" s="103"/>
      <c r="CC69" s="104"/>
      <c r="CD69" s="105"/>
      <c r="CE69" s="216"/>
      <c r="CF69" s="268"/>
      <c r="CG69" s="216"/>
      <c r="CH69" s="268"/>
      <c r="CI69" s="269" t="s">
        <v>96</v>
      </c>
      <c r="CK69" s="111"/>
    </row>
    <row r="70" spans="1:89" ht="33" hidden="1" customHeight="1" outlineLevel="1">
      <c r="A70" s="484"/>
      <c r="B70" s="505"/>
      <c r="C70" s="505"/>
      <c r="D70" s="62"/>
      <c r="E70" s="62"/>
      <c r="F70" s="247"/>
      <c r="G70" s="65"/>
      <c r="H70" s="65"/>
      <c r="I70" s="65"/>
      <c r="J70" s="65"/>
      <c r="K70" s="66"/>
      <c r="L70" s="453"/>
      <c r="M70" s="252"/>
      <c r="N70" s="252"/>
      <c r="O70" s="71"/>
      <c r="P70" s="71"/>
      <c r="Q70" s="71"/>
      <c r="R70" s="71"/>
      <c r="S70" s="273"/>
      <c r="T70" s="63"/>
      <c r="U70" s="71"/>
      <c r="V70" s="71"/>
      <c r="W70" s="71"/>
      <c r="X70" s="71"/>
      <c r="Y70" s="63"/>
      <c r="Z70" s="71"/>
      <c r="AA70" s="71"/>
      <c r="AB70" s="71"/>
      <c r="AC70" s="537"/>
      <c r="AD70" s="527"/>
      <c r="AE70" s="135"/>
      <c r="AF70" s="135"/>
      <c r="AG70" s="135"/>
      <c r="AH70" s="252"/>
      <c r="AI70" s="75"/>
      <c r="AJ70" s="276"/>
      <c r="AK70" s="77"/>
      <c r="AL70" s="77"/>
      <c r="AM70" s="74"/>
      <c r="AN70" s="75"/>
      <c r="AO70" s="78"/>
      <c r="AP70" s="74"/>
      <c r="AQ70" s="256"/>
      <c r="AR70" s="74"/>
      <c r="AS70" s="112"/>
      <c r="AT70" s="270"/>
      <c r="AU70" s="270"/>
      <c r="AV70" s="270"/>
      <c r="AW70" s="285"/>
      <c r="AX70" s="538"/>
      <c r="AY70" s="539"/>
      <c r="AZ70" s="311"/>
      <c r="BA70" s="63"/>
      <c r="BB70" s="63"/>
      <c r="BC70" s="540"/>
      <c r="BD70" s="139"/>
      <c r="BE70" s="526"/>
      <c r="BF70" s="527"/>
      <c r="BG70" s="528"/>
      <c r="BH70" s="123"/>
      <c r="BI70" s="123"/>
      <c r="BJ70" s="123"/>
      <c r="BK70" s="123"/>
      <c r="BL70" s="281"/>
      <c r="BM70" s="123"/>
      <c r="BN70" s="123"/>
      <c r="BO70" s="123"/>
      <c r="BP70" s="94"/>
      <c r="BQ70" s="95"/>
      <c r="BR70" s="130"/>
      <c r="BS70" s="131"/>
      <c r="BT70" s="131"/>
      <c r="BU70" s="1922"/>
      <c r="BV70" s="99"/>
      <c r="BW70" s="385"/>
      <c r="BX70" s="131"/>
      <c r="BY70" s="214"/>
      <c r="BZ70" s="101"/>
      <c r="CA70" s="133"/>
      <c r="CB70" s="103"/>
      <c r="CC70" s="104"/>
      <c r="CD70" s="105"/>
      <c r="CE70" s="133"/>
      <c r="CF70" s="102"/>
      <c r="CG70" s="103"/>
      <c r="CH70" s="534"/>
      <c r="CI70" s="512"/>
    </row>
    <row r="71" spans="1:89" ht="33" hidden="1" customHeight="1" outlineLevel="1">
      <c r="A71" s="484"/>
      <c r="B71" s="505"/>
      <c r="C71" s="505"/>
      <c r="D71" s="62"/>
      <c r="E71" s="62"/>
      <c r="F71" s="247"/>
      <c r="G71" s="65"/>
      <c r="H71" s="65"/>
      <c r="I71" s="65"/>
      <c r="J71" s="65"/>
      <c r="K71" s="66"/>
      <c r="L71" s="453"/>
      <c r="M71" s="252"/>
      <c r="N71" s="252"/>
      <c r="O71" s="71"/>
      <c r="P71" s="71"/>
      <c r="Q71" s="71"/>
      <c r="R71" s="71"/>
      <c r="S71" s="273"/>
      <c r="T71" s="63"/>
      <c r="U71" s="71"/>
      <c r="V71" s="71"/>
      <c r="W71" s="71"/>
      <c r="X71" s="71"/>
      <c r="Y71" s="63"/>
      <c r="Z71" s="71"/>
      <c r="AA71" s="71"/>
      <c r="AB71" s="71"/>
      <c r="AC71" s="537"/>
      <c r="AD71" s="527"/>
      <c r="AE71" s="135"/>
      <c r="AF71" s="135"/>
      <c r="AG71" s="135"/>
      <c r="AH71" s="252"/>
      <c r="AI71" s="75"/>
      <c r="AJ71" s="276"/>
      <c r="AK71" s="77"/>
      <c r="AL71" s="77"/>
      <c r="AM71" s="74"/>
      <c r="AN71" s="75"/>
      <c r="AO71" s="78"/>
      <c r="AP71" s="74"/>
      <c r="AQ71" s="256"/>
      <c r="AR71" s="74"/>
      <c r="AS71" s="112"/>
      <c r="AT71" s="270"/>
      <c r="AU71" s="270"/>
      <c r="AV71" s="270"/>
      <c r="AW71" s="285"/>
      <c r="AX71" s="538"/>
      <c r="AY71" s="539"/>
      <c r="AZ71" s="311"/>
      <c r="BA71" s="63"/>
      <c r="BB71" s="63"/>
      <c r="BC71" s="540"/>
      <c r="BD71" s="139"/>
      <c r="BE71" s="526"/>
      <c r="BF71" s="527"/>
      <c r="BG71" s="528"/>
      <c r="BH71" s="123"/>
      <c r="BI71" s="123"/>
      <c r="BJ71" s="123"/>
      <c r="BK71" s="123"/>
      <c r="BL71" s="281"/>
      <c r="BM71" s="123"/>
      <c r="BN71" s="123"/>
      <c r="BO71" s="123"/>
      <c r="BP71" s="94"/>
      <c r="BQ71" s="95"/>
      <c r="BR71" s="130"/>
      <c r="BS71" s="131"/>
      <c r="BT71" s="131"/>
      <c r="BU71" s="1922"/>
      <c r="BV71" s="99"/>
      <c r="BW71" s="385"/>
      <c r="BX71" s="131"/>
      <c r="BY71" s="214"/>
      <c r="BZ71" s="101"/>
      <c r="CA71" s="133"/>
      <c r="CB71" s="103"/>
      <c r="CC71" s="104"/>
      <c r="CD71" s="105"/>
      <c r="CE71" s="133"/>
      <c r="CF71" s="102"/>
      <c r="CG71" s="103"/>
      <c r="CH71" s="534"/>
      <c r="CI71" s="512"/>
    </row>
    <row r="72" spans="1:89" ht="33" hidden="1" customHeight="1" outlineLevel="1">
      <c r="A72" s="484"/>
      <c r="B72" s="505"/>
      <c r="C72" s="505"/>
      <c r="D72" s="62"/>
      <c r="E72" s="62"/>
      <c r="F72" s="270"/>
      <c r="G72" s="65"/>
      <c r="H72" s="65"/>
      <c r="I72" s="65"/>
      <c r="J72" s="65"/>
      <c r="K72" s="66"/>
      <c r="L72" s="453"/>
      <c r="M72" s="252"/>
      <c r="N72" s="252"/>
      <c r="O72" s="71"/>
      <c r="P72" s="71"/>
      <c r="Q72" s="71"/>
      <c r="R72" s="71"/>
      <c r="S72" s="273"/>
      <c r="T72" s="63"/>
      <c r="U72" s="71"/>
      <c r="V72" s="71"/>
      <c r="W72" s="71"/>
      <c r="X72" s="71"/>
      <c r="Y72" s="63"/>
      <c r="Z72" s="71"/>
      <c r="AA72" s="71"/>
      <c r="AB72" s="71"/>
      <c r="AC72" s="537"/>
      <c r="AD72" s="527"/>
      <c r="AE72" s="73"/>
      <c r="AF72" s="275"/>
      <c r="AG72" s="275"/>
      <c r="AH72" s="252"/>
      <c r="AI72" s="75"/>
      <c r="AJ72" s="276"/>
      <c r="AK72" s="77"/>
      <c r="AL72" s="77"/>
      <c r="AM72" s="74"/>
      <c r="AN72" s="75"/>
      <c r="AO72" s="78"/>
      <c r="AP72" s="74"/>
      <c r="AQ72" s="256"/>
      <c r="AR72" s="74"/>
      <c r="AS72" s="112"/>
      <c r="AT72" s="270"/>
      <c r="AU72" s="270"/>
      <c r="AV72" s="270"/>
      <c r="AW72" s="285"/>
      <c r="AX72" s="538"/>
      <c r="AY72" s="539"/>
      <c r="AZ72" s="311"/>
      <c r="BA72" s="63"/>
      <c r="BB72" s="63"/>
      <c r="BC72" s="540"/>
      <c r="BD72" s="139"/>
      <c r="BE72" s="526"/>
      <c r="BF72" s="527"/>
      <c r="BG72" s="528"/>
      <c r="BH72" s="530"/>
      <c r="BI72" s="530"/>
      <c r="BJ72" s="530"/>
      <c r="BK72" s="530"/>
      <c r="BL72" s="531"/>
      <c r="BM72" s="530"/>
      <c r="BN72" s="530"/>
      <c r="BO72" s="530"/>
      <c r="BP72" s="94"/>
      <c r="BQ72" s="95"/>
      <c r="BR72" s="130"/>
      <c r="BS72" s="131"/>
      <c r="BT72" s="131"/>
      <c r="BU72" s="1922"/>
      <c r="BV72" s="99"/>
      <c r="BW72" s="385"/>
      <c r="BX72" s="131"/>
      <c r="BY72" s="214"/>
      <c r="BZ72" s="101"/>
      <c r="CA72" s="133"/>
      <c r="CB72" s="103"/>
      <c r="CC72" s="104"/>
      <c r="CD72" s="105"/>
      <c r="CE72" s="133"/>
      <c r="CF72" s="102"/>
      <c r="CG72" s="103"/>
      <c r="CH72" s="534"/>
      <c r="CI72" s="512"/>
    </row>
    <row r="73" spans="1:89" ht="33" hidden="1" customHeight="1" outlineLevel="1">
      <c r="A73" s="484"/>
      <c r="B73" s="505"/>
      <c r="C73" s="505"/>
      <c r="D73" s="62"/>
      <c r="E73" s="62"/>
      <c r="F73" s="270"/>
      <c r="G73" s="65"/>
      <c r="H73" s="80"/>
      <c r="I73" s="80"/>
      <c r="J73" s="80"/>
      <c r="K73" s="271"/>
      <c r="L73" s="380"/>
      <c r="M73" s="67"/>
      <c r="N73" s="68"/>
      <c r="O73" s="70"/>
      <c r="P73" s="70"/>
      <c r="Q73" s="70"/>
      <c r="R73" s="70"/>
      <c r="S73" s="249"/>
      <c r="T73" s="64"/>
      <c r="U73" s="70"/>
      <c r="V73" s="70"/>
      <c r="W73" s="70"/>
      <c r="X73" s="70"/>
      <c r="Y73" s="64"/>
      <c r="Z73" s="70"/>
      <c r="AA73" s="70"/>
      <c r="AB73" s="70"/>
      <c r="AC73" s="537"/>
      <c r="AD73" s="527"/>
      <c r="AE73" s="73"/>
      <c r="AF73" s="275"/>
      <c r="AG73" s="275"/>
      <c r="AH73" s="68"/>
      <c r="AI73" s="324"/>
      <c r="AJ73" s="541"/>
      <c r="AK73" s="288"/>
      <c r="AL73" s="288"/>
      <c r="AM73" s="81"/>
      <c r="AN73" s="324"/>
      <c r="AO73" s="542"/>
      <c r="AP73" s="81"/>
      <c r="AQ73" s="543"/>
      <c r="AR73" s="81"/>
      <c r="AS73" s="67"/>
      <c r="AT73" s="247"/>
      <c r="AU73" s="247"/>
      <c r="AV73" s="247"/>
      <c r="AW73" s="317"/>
      <c r="AX73" s="258"/>
      <c r="AY73" s="544"/>
      <c r="AZ73" s="84"/>
      <c r="BA73" s="64"/>
      <c r="BB73" s="64"/>
      <c r="BC73" s="515"/>
      <c r="BD73" s="516"/>
      <c r="BE73" s="374"/>
      <c r="BF73" s="375"/>
      <c r="BG73" s="545"/>
      <c r="BH73" s="123"/>
      <c r="BI73" s="123"/>
      <c r="BJ73" s="123"/>
      <c r="BK73" s="123"/>
      <c r="BL73" s="281"/>
      <c r="BM73" s="123"/>
      <c r="BN73" s="123"/>
      <c r="BO73" s="123"/>
      <c r="BP73" s="94"/>
      <c r="BQ73" s="95"/>
      <c r="BR73" s="130"/>
      <c r="BS73" s="131"/>
      <c r="BT73" s="131"/>
      <c r="BU73" s="1922"/>
      <c r="BV73" s="99"/>
      <c r="BW73" s="385"/>
      <c r="BX73" s="131"/>
      <c r="BY73" s="214"/>
      <c r="BZ73" s="101"/>
      <c r="CA73" s="133"/>
      <c r="CB73" s="103"/>
      <c r="CC73" s="104"/>
      <c r="CD73" s="105"/>
      <c r="CE73" s="133"/>
      <c r="CF73" s="102"/>
      <c r="CG73" s="103"/>
      <c r="CH73" s="534"/>
      <c r="CI73" s="512"/>
    </row>
    <row r="74" spans="1:89" ht="33" hidden="1" customHeight="1" outlineLevel="1" collapsed="1">
      <c r="A74" s="325" t="s">
        <v>91</v>
      </c>
      <c r="B74" s="326"/>
      <c r="C74" s="327"/>
      <c r="D74" s="328"/>
      <c r="E74" s="328"/>
      <c r="F74" s="328"/>
      <c r="G74" s="329">
        <f>SUM(G57:G73)</f>
        <v>0</v>
      </c>
      <c r="H74" s="330">
        <f>SUM(H57:H73)</f>
        <v>0</v>
      </c>
      <c r="I74" s="329"/>
      <c r="J74" s="329"/>
      <c r="K74" s="329"/>
      <c r="L74" s="153">
        <f>SUMIF(A57:A73,$B$1,L57:L73)</f>
        <v>0</v>
      </c>
      <c r="M74" s="152"/>
      <c r="N74" s="152"/>
      <c r="O74" s="152"/>
      <c r="P74" s="152"/>
      <c r="Q74" s="152"/>
      <c r="R74" s="152"/>
      <c r="S74" s="152"/>
      <c r="T74" s="152"/>
      <c r="U74" s="152"/>
      <c r="V74" s="151"/>
      <c r="W74" s="151"/>
      <c r="X74" s="151"/>
      <c r="Y74" s="152"/>
      <c r="Z74" s="152"/>
      <c r="AA74" s="151"/>
      <c r="AB74" s="151"/>
      <c r="AC74" s="328"/>
      <c r="AD74" s="328"/>
      <c r="AE74" s="331"/>
      <c r="AF74" s="332"/>
      <c r="AG74" s="333"/>
      <c r="AH74" s="329"/>
      <c r="AI74" s="334"/>
      <c r="AJ74" s="335"/>
      <c r="AK74" s="333"/>
      <c r="AL74" s="333"/>
      <c r="AM74" s="329"/>
      <c r="AN74" s="334"/>
      <c r="AO74" s="336">
        <f>COUNTA(AO69:AO73)</f>
        <v>0</v>
      </c>
      <c r="AP74" s="546">
        <f>SUM(AP69:AP73)</f>
        <v>0</v>
      </c>
      <c r="AQ74" s="152">
        <f>SUM(AQ69:AQ73)</f>
        <v>0</v>
      </c>
      <c r="AR74" s="337"/>
      <c r="AS74" s="328"/>
      <c r="AT74" s="328"/>
      <c r="AU74" s="328"/>
      <c r="AV74" s="328"/>
      <c r="AW74" s="328"/>
      <c r="AX74" s="328"/>
      <c r="AY74" s="328"/>
      <c r="AZ74" s="338">
        <f>SUM(AZ69:AZ73)</f>
        <v>0</v>
      </c>
      <c r="BA74" s="338">
        <f>SUM(BA69:BA73)</f>
        <v>0</v>
      </c>
      <c r="BB74" s="338">
        <f>SUM(BB69:BB73)</f>
        <v>0</v>
      </c>
      <c r="BC74" s="221" t="str">
        <f>IF(COUNT(BC69:BC73)=0,"-",AVERAGE(BC69:BC73))</f>
        <v>-</v>
      </c>
      <c r="BD74" s="339"/>
      <c r="BE74" s="340"/>
      <c r="BF74" s="340"/>
      <c r="BG74" s="341"/>
      <c r="BH74" s="547"/>
      <c r="BI74" s="547"/>
      <c r="BJ74" s="547"/>
      <c r="BK74" s="547"/>
      <c r="BL74" s="547"/>
      <c r="BM74" s="547"/>
      <c r="BN74" s="547"/>
      <c r="BO74" s="547"/>
      <c r="BP74" s="163">
        <f>SUM(BP65:BP73)</f>
        <v>0</v>
      </c>
      <c r="BQ74" s="163">
        <f>SUM(BQ65:BQ73)</f>
        <v>0</v>
      </c>
      <c r="BR74" s="496">
        <f>COUNTA(BR57:BR73)</f>
        <v>0</v>
      </c>
      <c r="BS74" s="497">
        <f>SUM(BS57:BS65,BS69:BS73)</f>
        <v>0</v>
      </c>
      <c r="BT74" s="470"/>
      <c r="BU74" s="1927">
        <f>SUM(BU57:BU65,BU69:BU73)</f>
        <v>0</v>
      </c>
      <c r="BV74" s="498"/>
      <c r="BW74" s="496">
        <f>COUNTA(BW57:BW73)</f>
        <v>0</v>
      </c>
      <c r="BX74" s="462">
        <f>SUM(BX57:BX73)</f>
        <v>0</v>
      </c>
      <c r="BY74" s="463">
        <f>SUM(BY57:BY73)</f>
        <v>0</v>
      </c>
      <c r="BZ74" s="171"/>
      <c r="CA74" s="548"/>
      <c r="CB74" s="173">
        <f>AO74</f>
        <v>0</v>
      </c>
      <c r="CC74" s="173">
        <f>COUNTIF(CC69:CC73,"=0")</f>
        <v>0</v>
      </c>
      <c r="CD74" s="174">
        <f>SUM(COUNTIF(CC69:CC73,"&lt;0"),COUNTIF(CC69:CC73,"&gt;0"))</f>
        <v>0</v>
      </c>
      <c r="CE74" s="225">
        <f>COUNTIF(CE65:CE65,"1")</f>
        <v>0</v>
      </c>
      <c r="CF74" s="226">
        <f>SUM(CF65:CF65)</f>
        <v>0</v>
      </c>
      <c r="CG74" s="227">
        <f>COUNTIF(CG65:CG73,"1")</f>
        <v>0</v>
      </c>
      <c r="CH74" s="228">
        <f>SUM(CH65:CH73)</f>
        <v>0</v>
      </c>
      <c r="CI74" s="347"/>
    </row>
    <row r="75" spans="1:89" ht="33" hidden="1" customHeight="1" outlineLevel="1">
      <c r="A75" s="179" t="s">
        <v>89</v>
      </c>
      <c r="B75" s="348">
        <f>COUNT(A57:A73)</f>
        <v>0</v>
      </c>
      <c r="C75" s="181"/>
      <c r="D75" s="182"/>
      <c r="E75" s="182"/>
      <c r="F75" s="182"/>
      <c r="G75" s="184">
        <f>SUM(G74,G67)</f>
        <v>0</v>
      </c>
      <c r="H75" s="184">
        <f>SUM(H74,H67)</f>
        <v>0</v>
      </c>
      <c r="I75" s="184">
        <f>SUM(I74,I66)</f>
        <v>0</v>
      </c>
      <c r="J75" s="184">
        <f>SUM(J74,J67)</f>
        <v>0</v>
      </c>
      <c r="K75" s="184"/>
      <c r="L75" s="184"/>
      <c r="M75" s="184"/>
      <c r="N75" s="184"/>
      <c r="O75" s="184"/>
      <c r="P75" s="184"/>
      <c r="Q75" s="184"/>
      <c r="R75" s="184"/>
      <c r="S75" s="185"/>
      <c r="T75" s="183"/>
      <c r="U75" s="185"/>
      <c r="V75" s="182"/>
      <c r="W75" s="182"/>
      <c r="X75" s="182"/>
      <c r="Y75" s="183"/>
      <c r="Z75" s="185"/>
      <c r="AA75" s="182"/>
      <c r="AB75" s="182"/>
      <c r="AC75" s="182"/>
      <c r="AD75" s="182"/>
      <c r="AE75" s="186"/>
      <c r="AF75" s="186"/>
      <c r="AG75" s="186"/>
      <c r="AH75" s="184"/>
      <c r="AI75" s="184"/>
      <c r="AJ75" s="186"/>
      <c r="AK75" s="186"/>
      <c r="AL75" s="186"/>
      <c r="AM75" s="184"/>
      <c r="AN75" s="184"/>
      <c r="AO75" s="182">
        <f>SUM(AO74,AO66)</f>
        <v>0</v>
      </c>
      <c r="AP75" s="184">
        <f>SUM(AP74,AP66)</f>
        <v>0</v>
      </c>
      <c r="AQ75" s="182"/>
      <c r="AR75" s="187"/>
      <c r="AS75" s="182"/>
      <c r="AT75" s="182"/>
      <c r="AU75" s="182"/>
      <c r="AV75" s="182"/>
      <c r="AW75" s="182"/>
      <c r="AX75" s="182"/>
      <c r="AY75" s="182"/>
      <c r="AZ75" s="188">
        <f>SUM(AZ74,AZ66)</f>
        <v>0</v>
      </c>
      <c r="BA75" s="188">
        <f>SUM(BA74,BA66)</f>
        <v>0</v>
      </c>
      <c r="BB75" s="188">
        <f>SUM(BB74,BB66)</f>
        <v>0</v>
      </c>
      <c r="BC75" s="229" t="str">
        <f>IF(COUNT(BC57:BC65,BC69:BC73)=0,"-",AVERAGE(BC57:BC65,BC69:BC73))</f>
        <v>-</v>
      </c>
      <c r="BD75" s="188">
        <f>+BD67</f>
        <v>0</v>
      </c>
      <c r="BE75" s="535"/>
      <c r="BF75" s="535"/>
      <c r="BG75" s="476"/>
      <c r="BH75" s="476"/>
      <c r="BI75" s="476"/>
      <c r="BJ75" s="476"/>
      <c r="BK75" s="476"/>
      <c r="BL75" s="476"/>
      <c r="BM75" s="476"/>
      <c r="BN75" s="476"/>
      <c r="BO75" s="476"/>
      <c r="BP75" s="549"/>
      <c r="BQ75" s="237"/>
      <c r="BR75" s="471"/>
      <c r="BS75" s="472"/>
      <c r="BT75" s="472"/>
      <c r="BU75" s="1926"/>
      <c r="BV75" s="1914">
        <f>SUMIF(BV57:BV73,"",BU57:BU73)</f>
        <v>0</v>
      </c>
      <c r="BW75" s="471"/>
      <c r="BX75" s="472"/>
      <c r="BY75" s="473"/>
      <c r="BZ75" s="360"/>
      <c r="CA75" s="235"/>
      <c r="CB75" s="197">
        <f>SUM(CB69:CB73)</f>
        <v>0</v>
      </c>
      <c r="CC75" s="197">
        <f>SUMIF(CC69:CC73,"=0",CD69:CD73)</f>
        <v>0</v>
      </c>
      <c r="CD75" s="198">
        <f>SUMIF(CC69:CC73,"&lt;&gt;0",CD69:CD73)</f>
        <v>0</v>
      </c>
      <c r="CE75" s="477"/>
      <c r="CF75" s="308"/>
      <c r="CG75" s="308"/>
      <c r="CH75" s="230"/>
      <c r="CI75" s="202"/>
    </row>
    <row r="76" spans="1:89" ht="23.25" hidden="1" outlineLevel="1">
      <c r="A76" s="2144" t="s">
        <v>100</v>
      </c>
      <c r="B76" s="2144"/>
      <c r="C76" s="2144"/>
      <c r="D76" s="2144"/>
      <c r="E76" s="2144"/>
      <c r="F76" s="21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3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5"/>
      <c r="BE76" s="45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365"/>
      <c r="BQ76" s="244"/>
      <c r="BR76" s="550"/>
      <c r="BS76" s="551"/>
      <c r="BT76" s="551"/>
      <c r="BU76" s="1901"/>
      <c r="BV76" s="552"/>
      <c r="BW76" s="553"/>
      <c r="BX76" s="554"/>
      <c r="BY76" s="552"/>
      <c r="BZ76" s="52"/>
      <c r="CA76" s="53"/>
      <c r="CB76" s="53"/>
      <c r="CC76" s="53"/>
      <c r="CD76" s="206"/>
      <c r="CE76" s="53"/>
      <c r="CF76" s="53"/>
      <c r="CG76" s="53"/>
      <c r="CH76" s="53"/>
      <c r="CI76" s="246"/>
    </row>
    <row r="77" spans="1:89" ht="18.75" hidden="1" outlineLevel="1">
      <c r="A77" s="386"/>
      <c r="B77" s="505"/>
      <c r="C77" s="505"/>
      <c r="D77" s="248"/>
      <c r="E77" s="62"/>
      <c r="F77" s="270"/>
      <c r="G77" s="65"/>
      <c r="H77" s="80"/>
      <c r="I77" s="80"/>
      <c r="J77" s="80"/>
      <c r="K77" s="66"/>
      <c r="L77" s="270"/>
      <c r="M77" s="252"/>
      <c r="N77" s="252"/>
      <c r="O77" s="71"/>
      <c r="P77" s="71"/>
      <c r="Q77" s="71"/>
      <c r="R77" s="71"/>
      <c r="S77" s="273"/>
      <c r="T77" s="63"/>
      <c r="U77" s="71"/>
      <c r="V77" s="71"/>
      <c r="W77" s="71"/>
      <c r="X77" s="71"/>
      <c r="Y77" s="63"/>
      <c r="Z77" s="71"/>
      <c r="AA77" s="71"/>
      <c r="AB77" s="71"/>
      <c r="AC77" s="72"/>
      <c r="AD77" s="274"/>
      <c r="AE77" s="276"/>
      <c r="AF77" s="555"/>
      <c r="AG77" s="555"/>
      <c r="AH77" s="74"/>
      <c r="AI77" s="75"/>
      <c r="AJ77" s="276"/>
      <c r="AK77" s="77"/>
      <c r="AL77" s="77"/>
      <c r="AM77" s="74"/>
      <c r="AN77" s="75"/>
      <c r="AO77" s="78"/>
      <c r="AP77" s="74"/>
      <c r="AQ77" s="256"/>
      <c r="AR77" s="74"/>
      <c r="AS77" s="112"/>
      <c r="AT77" s="60"/>
      <c r="AU77" s="247"/>
      <c r="AV77" s="247"/>
      <c r="AW77" s="68"/>
      <c r="AX77" s="258"/>
      <c r="AY77" s="514"/>
      <c r="AZ77" s="84"/>
      <c r="BA77" s="556"/>
      <c r="BB77" s="63"/>
      <c r="BC77" s="312"/>
      <c r="BD77" s="139"/>
      <c r="BE77" s="557"/>
      <c r="BF77" s="558"/>
      <c r="BG77" s="559"/>
      <c r="BH77" s="87"/>
      <c r="BI77" s="87"/>
      <c r="BJ77" s="87"/>
      <c r="BK77" s="87"/>
      <c r="BL77" s="87"/>
      <c r="BM77" s="87"/>
      <c r="BN77" s="87"/>
      <c r="BO77" s="87"/>
      <c r="BP77" s="560"/>
      <c r="BQ77" s="561"/>
      <c r="BR77" s="130"/>
      <c r="BS77" s="131"/>
      <c r="BT77" s="131"/>
      <c r="BU77" s="1922"/>
      <c r="BV77" s="99"/>
      <c r="BW77" s="284"/>
      <c r="BX77" s="132"/>
      <c r="BY77" s="132"/>
      <c r="BZ77" s="101"/>
      <c r="CA77" s="102"/>
      <c r="CB77" s="562"/>
      <c r="CC77" s="125"/>
      <c r="CD77" s="105"/>
      <c r="CE77" s="133"/>
      <c r="CF77" s="102"/>
      <c r="CG77" s="103"/>
      <c r="CH77" s="534"/>
      <c r="CI77" s="378"/>
    </row>
    <row r="78" spans="1:89" ht="18.75" hidden="1" outlineLevel="1">
      <c r="A78" s="386"/>
      <c r="B78" s="270"/>
      <c r="C78" s="270"/>
      <c r="D78" s="62"/>
      <c r="E78" s="62"/>
      <c r="F78" s="270"/>
      <c r="G78" s="65"/>
      <c r="H78" s="563"/>
      <c r="I78" s="80"/>
      <c r="J78" s="80"/>
      <c r="K78" s="66"/>
      <c r="L78" s="270"/>
      <c r="M78" s="252"/>
      <c r="N78" s="252"/>
      <c r="O78" s="71"/>
      <c r="P78" s="71"/>
      <c r="Q78" s="71"/>
      <c r="R78" s="71"/>
      <c r="S78" s="273"/>
      <c r="T78" s="85"/>
      <c r="U78" s="71"/>
      <c r="V78" s="71"/>
      <c r="W78" s="71"/>
      <c r="X78" s="71"/>
      <c r="Y78" s="85"/>
      <c r="Z78" s="71"/>
      <c r="AA78" s="71"/>
      <c r="AB78" s="71"/>
      <c r="AC78" s="72"/>
      <c r="AD78" s="274"/>
      <c r="AE78" s="276"/>
      <c r="AF78" s="276"/>
      <c r="AG78" s="77"/>
      <c r="AH78" s="74"/>
      <c r="AI78" s="75"/>
      <c r="AJ78" s="276"/>
      <c r="AK78" s="77"/>
      <c r="AL78" s="276"/>
      <c r="AM78" s="74"/>
      <c r="AN78" s="75"/>
      <c r="AO78" s="78"/>
      <c r="AP78" s="289"/>
      <c r="AQ78" s="256"/>
      <c r="AR78" s="74"/>
      <c r="AS78" s="66"/>
      <c r="AT78" s="247"/>
      <c r="AU78" s="247"/>
      <c r="AV78" s="247"/>
      <c r="AW78" s="317"/>
      <c r="AX78" s="387"/>
      <c r="AY78" s="564"/>
      <c r="AZ78" s="565"/>
      <c r="BA78" s="63"/>
      <c r="BB78" s="63"/>
      <c r="BC78" s="63"/>
      <c r="BD78" s="139"/>
      <c r="BE78" s="566"/>
      <c r="BF78" s="567"/>
      <c r="BG78" s="567"/>
      <c r="BH78" s="282"/>
      <c r="BI78" s="281"/>
      <c r="BJ78" s="281"/>
      <c r="BK78" s="281"/>
      <c r="BL78" s="281"/>
      <c r="BM78" s="281"/>
      <c r="BN78" s="281"/>
      <c r="BO78" s="282"/>
      <c r="BP78" s="568"/>
      <c r="BQ78" s="244"/>
      <c r="BR78" s="207"/>
      <c r="BS78" s="208"/>
      <c r="BT78" s="208"/>
      <c r="BU78" s="267"/>
      <c r="BV78" s="209"/>
      <c r="BW78" s="569"/>
      <c r="BX78" s="208"/>
      <c r="BY78" s="570"/>
      <c r="BZ78" s="101"/>
      <c r="CA78" s="102"/>
      <c r="CB78" s="103"/>
      <c r="CC78" s="104"/>
      <c r="CD78" s="105"/>
      <c r="CE78" s="106"/>
      <c r="CF78" s="107"/>
      <c r="CG78" s="108"/>
      <c r="CH78" s="377"/>
      <c r="CI78" s="295"/>
    </row>
    <row r="79" spans="1:89" ht="18.75" hidden="1" outlineLevel="1">
      <c r="A79" s="148" t="s">
        <v>86</v>
      </c>
      <c r="B79" s="149">
        <f>COUNTIF(A77:A78,$B$1)</f>
        <v>0</v>
      </c>
      <c r="C79" s="150"/>
      <c r="D79" s="151"/>
      <c r="E79" s="151"/>
      <c r="F79" s="151"/>
      <c r="G79" s="152"/>
      <c r="H79" s="152">
        <f>SUMIF(A77:A78,$B$1,H77:H78)</f>
        <v>0</v>
      </c>
      <c r="I79" s="152">
        <f>SUM(I77:I78)</f>
        <v>0</v>
      </c>
      <c r="J79" s="152"/>
      <c r="K79" s="152"/>
      <c r="L79" s="152">
        <f>SUMIF(A77:A78,$B$1,L77:L78)</f>
        <v>0</v>
      </c>
      <c r="M79" s="152"/>
      <c r="N79" s="152"/>
      <c r="O79" s="152"/>
      <c r="P79" s="152"/>
      <c r="Q79" s="152"/>
      <c r="R79" s="152"/>
      <c r="S79" s="152"/>
      <c r="T79" s="152"/>
      <c r="U79" s="152"/>
      <c r="V79" s="151"/>
      <c r="W79" s="151"/>
      <c r="X79" s="151"/>
      <c r="Y79" s="152"/>
      <c r="Z79" s="152"/>
      <c r="AA79" s="151"/>
      <c r="AB79" s="151"/>
      <c r="AC79" s="151"/>
      <c r="AD79" s="151"/>
      <c r="AE79" s="154"/>
      <c r="AF79" s="155"/>
      <c r="AG79" s="156"/>
      <c r="AH79" s="152"/>
      <c r="AI79" s="157"/>
      <c r="AJ79" s="296"/>
      <c r="AK79" s="156"/>
      <c r="AL79" s="156"/>
      <c r="AM79" s="152"/>
      <c r="AN79" s="157"/>
      <c r="AO79" s="297">
        <f>COUNTA(AO77:AO78)</f>
        <v>0</v>
      </c>
      <c r="AP79" s="160">
        <f>SUM(AP77:AP78)</f>
        <v>0</v>
      </c>
      <c r="AQ79" s="152">
        <f>SUM(AQ77:AQ78)</f>
        <v>0</v>
      </c>
      <c r="AR79" s="161"/>
      <c r="AS79" s="151"/>
      <c r="AT79" s="151"/>
      <c r="AU79" s="151"/>
      <c r="AV79" s="151"/>
      <c r="AW79" s="151"/>
      <c r="AX79" s="151"/>
      <c r="AY79" s="151"/>
      <c r="AZ79" s="165">
        <f>SUM(AZ77:AZ78)</f>
        <v>0</v>
      </c>
      <c r="BA79" s="163">
        <f>SUM(BA77:BA78)</f>
        <v>0</v>
      </c>
      <c r="BB79" s="165">
        <f>SUM(BB77:BB78)</f>
        <v>0</v>
      </c>
      <c r="BC79" s="221" t="str">
        <f>IF(COUNT(BC77:BC78)=0,"-",AVERAGE(BC77:BC78))</f>
        <v>-</v>
      </c>
      <c r="BD79" s="165"/>
      <c r="BE79" s="340"/>
      <c r="BF79" s="340"/>
      <c r="BG79" s="341"/>
      <c r="BH79" s="341"/>
      <c r="BI79" s="341"/>
      <c r="BJ79" s="341"/>
      <c r="BK79" s="341"/>
      <c r="BL79" s="341"/>
      <c r="BM79" s="341"/>
      <c r="BN79" s="341"/>
      <c r="BO79" s="341"/>
      <c r="BP79" s="301"/>
      <c r="BQ79" s="302"/>
      <c r="BR79" s="571"/>
      <c r="BS79" s="572"/>
      <c r="BT79" s="573"/>
      <c r="BU79" s="872"/>
      <c r="BV79" s="575"/>
      <c r="BW79" s="571"/>
      <c r="BX79" s="573"/>
      <c r="BY79" s="575"/>
      <c r="BZ79" s="171"/>
      <c r="CA79" s="548"/>
      <c r="CB79" s="173">
        <f>AO79</f>
        <v>0</v>
      </c>
      <c r="CC79" s="173">
        <f>COUNTIF(CC77:CC78,"=0")</f>
        <v>0</v>
      </c>
      <c r="CD79" s="174">
        <f>SUM(COUNTIF(CC77:CC78,"&lt;0"),COUNTIF(CC77:CC78,"&gt;0"))</f>
        <v>0</v>
      </c>
      <c r="CE79" s="576"/>
      <c r="CF79" s="577"/>
      <c r="CG79" s="577"/>
      <c r="CH79" s="177"/>
      <c r="CI79" s="178"/>
    </row>
    <row r="80" spans="1:89" ht="18.75" hidden="1" outlineLevel="1">
      <c r="A80" s="179" t="s">
        <v>87</v>
      </c>
      <c r="B80" s="348">
        <f>COUNT(A76:A78)</f>
        <v>0</v>
      </c>
      <c r="C80" s="181"/>
      <c r="D80" s="182"/>
      <c r="E80" s="182"/>
      <c r="F80" s="182"/>
      <c r="G80" s="184"/>
      <c r="H80" s="184">
        <f>SUM(H77:H78)</f>
        <v>0</v>
      </c>
      <c r="I80" s="184"/>
      <c r="J80" s="184">
        <f>SUM(J77:J78)</f>
        <v>0</v>
      </c>
      <c r="K80" s="184"/>
      <c r="L80" s="184"/>
      <c r="M80" s="184"/>
      <c r="N80" s="184"/>
      <c r="O80" s="184"/>
      <c r="P80" s="184"/>
      <c r="Q80" s="184"/>
      <c r="R80" s="184"/>
      <c r="S80" s="185"/>
      <c r="T80" s="187">
        <f>SUM(T79)</f>
        <v>0</v>
      </c>
      <c r="U80" s="185"/>
      <c r="V80" s="182"/>
      <c r="W80" s="182"/>
      <c r="X80" s="182"/>
      <c r="Y80" s="187">
        <f>SUM(Y79)</f>
        <v>0</v>
      </c>
      <c r="Z80" s="185"/>
      <c r="AA80" s="182"/>
      <c r="AB80" s="182"/>
      <c r="AC80" s="182"/>
      <c r="AD80" s="182"/>
      <c r="AE80" s="186"/>
      <c r="AF80" s="186"/>
      <c r="AG80" s="186"/>
      <c r="AH80" s="184"/>
      <c r="AI80" s="184">
        <f>SUM(AI79:AI79)</f>
        <v>0</v>
      </c>
      <c r="AJ80" s="578"/>
      <c r="AK80" s="186"/>
      <c r="AL80" s="186"/>
      <c r="AM80" s="184"/>
      <c r="AN80" s="184"/>
      <c r="AO80" s="180">
        <f>COUNTA(AO77:AO78)</f>
        <v>0</v>
      </c>
      <c r="AP80" s="182"/>
      <c r="AQ80" s="182"/>
      <c r="AR80" s="187"/>
      <c r="AS80" s="182"/>
      <c r="AT80" s="182"/>
      <c r="AU80" s="182"/>
      <c r="AV80" s="182"/>
      <c r="AW80" s="182"/>
      <c r="AX80" s="182"/>
      <c r="AY80" s="182"/>
      <c r="AZ80" s="182"/>
      <c r="BA80" s="182"/>
      <c r="BB80" s="182"/>
      <c r="BC80" s="182"/>
      <c r="BD80" s="188">
        <f>SUM(BD77:BD78)</f>
        <v>0</v>
      </c>
      <c r="BE80" s="535"/>
      <c r="BF80" s="535"/>
      <c r="BG80" s="476"/>
      <c r="BH80" s="476"/>
      <c r="BI80" s="476"/>
      <c r="BJ80" s="476"/>
      <c r="BK80" s="476"/>
      <c r="BL80" s="476"/>
      <c r="BM80" s="476"/>
      <c r="BN80" s="476"/>
      <c r="BO80" s="476"/>
      <c r="BP80" s="308"/>
      <c r="BQ80" s="237"/>
      <c r="BR80" s="192"/>
      <c r="BS80" s="579"/>
      <c r="BT80" s="193"/>
      <c r="BU80" s="1928"/>
      <c r="BV80" s="194"/>
      <c r="BW80" s="192"/>
      <c r="BX80" s="193"/>
      <c r="BY80" s="193"/>
      <c r="BZ80" s="195"/>
      <c r="CA80" s="196"/>
      <c r="CB80" s="197">
        <f>SUM(CB77:CB78)</f>
        <v>0</v>
      </c>
      <c r="CC80" s="197">
        <f>SUMIF(CC77:CC78,"=0",CD77:CD78)</f>
        <v>0</v>
      </c>
      <c r="CD80" s="198">
        <f>SUMIF(CC77:CC78,"&lt;&gt;0",CD77:CD78)</f>
        <v>0</v>
      </c>
      <c r="CE80" s="236"/>
      <c r="CF80" s="230"/>
      <c r="CG80" s="230"/>
      <c r="CH80" s="237"/>
      <c r="CI80" s="202"/>
    </row>
    <row r="81" spans="1:93" ht="23.25" hidden="1" outlineLevel="1">
      <c r="A81" s="2144" t="s">
        <v>101</v>
      </c>
      <c r="B81" s="2144"/>
      <c r="C81" s="2144"/>
      <c r="D81" s="2144"/>
      <c r="E81" s="2144"/>
      <c r="F81" s="2144"/>
      <c r="G81" s="2144"/>
      <c r="H81" s="21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3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580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5"/>
      <c r="BE81" s="45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78"/>
      <c r="BQ81" s="47"/>
      <c r="BR81" s="96"/>
      <c r="BS81" s="581"/>
      <c r="BT81" s="97"/>
      <c r="BU81" s="1921"/>
      <c r="BV81" s="100"/>
      <c r="BW81" s="96"/>
      <c r="BX81" s="97"/>
      <c r="BY81" s="100"/>
      <c r="BZ81" s="482"/>
      <c r="CA81" s="478"/>
      <c r="CB81" s="478"/>
      <c r="CC81" s="478"/>
      <c r="CD81" s="47"/>
      <c r="CE81" s="478"/>
      <c r="CF81" s="478"/>
      <c r="CG81" s="478"/>
      <c r="CH81" s="478"/>
      <c r="CI81" s="210"/>
    </row>
    <row r="82" spans="1:93" ht="56.25" hidden="1" outlineLevel="1">
      <c r="A82" s="582"/>
      <c r="B82" s="505"/>
      <c r="C82" s="505"/>
      <c r="D82" s="248"/>
      <c r="E82" s="62"/>
      <c r="F82" s="62"/>
      <c r="G82" s="65"/>
      <c r="H82" s="80"/>
      <c r="I82" s="80"/>
      <c r="J82" s="80"/>
      <c r="K82" s="66"/>
      <c r="L82" s="270"/>
      <c r="M82" s="252"/>
      <c r="N82" s="252"/>
      <c r="O82" s="71"/>
      <c r="P82" s="71"/>
      <c r="Q82" s="71"/>
      <c r="R82" s="71"/>
      <c r="S82" s="273"/>
      <c r="T82" s="63"/>
      <c r="U82" s="71"/>
      <c r="V82" s="71"/>
      <c r="W82" s="71"/>
      <c r="X82" s="71"/>
      <c r="Y82" s="63"/>
      <c r="Z82" s="71"/>
      <c r="AA82" s="85"/>
      <c r="AB82" s="71"/>
      <c r="AC82" s="72"/>
      <c r="AD82" s="274" t="s">
        <v>102</v>
      </c>
      <c r="AE82" s="555"/>
      <c r="AF82" s="555"/>
      <c r="AG82" s="555"/>
      <c r="AH82" s="74"/>
      <c r="AI82" s="75"/>
      <c r="AJ82" s="276"/>
      <c r="AK82" s="77"/>
      <c r="AL82" s="77"/>
      <c r="AM82" s="74"/>
      <c r="AN82" s="75"/>
      <c r="AO82" s="78"/>
      <c r="AP82" s="74"/>
      <c r="AQ82" s="256"/>
      <c r="AR82" s="257"/>
      <c r="AS82" s="112"/>
      <c r="AT82" s="60"/>
      <c r="AU82" s="247"/>
      <c r="AV82" s="68"/>
      <c r="AW82" s="68"/>
      <c r="AX82" s="258"/>
      <c r="AY82" s="83"/>
      <c r="AZ82" s="311" t="str">
        <f>IF(AP82&lt;1,"-",AP82-Y82)</f>
        <v>-</v>
      </c>
      <c r="BA82" s="64" t="str">
        <f>IF(AZ82="-","-",($B$2-AO82+1)*AZ82)</f>
        <v>-</v>
      </c>
      <c r="BB82" s="85" t="str">
        <f>IF(AZ82="-","-",AZ82-H82)</f>
        <v>-</v>
      </c>
      <c r="BC82" s="63"/>
      <c r="BD82" s="139"/>
      <c r="BE82" s="557"/>
      <c r="BF82" s="558"/>
      <c r="BG82" s="559"/>
      <c r="BH82" s="87"/>
      <c r="BI82" s="87"/>
      <c r="BJ82" s="87"/>
      <c r="BK82" s="87"/>
      <c r="BL82" s="87"/>
      <c r="BM82" s="87"/>
      <c r="BN82" s="87"/>
      <c r="BO82" s="87"/>
      <c r="BP82" s="560"/>
      <c r="BQ82" s="561"/>
      <c r="BR82" s="130"/>
      <c r="BS82" s="214"/>
      <c r="BT82" s="131"/>
      <c r="BU82" s="1923"/>
      <c r="BV82" s="99"/>
      <c r="BW82" s="284"/>
      <c r="BX82" s="132"/>
      <c r="BY82" s="132"/>
      <c r="BZ82" s="101"/>
      <c r="CA82" s="102"/>
      <c r="CB82" s="562"/>
      <c r="CC82" s="125"/>
      <c r="CD82" s="105"/>
      <c r="CE82" s="133"/>
      <c r="CF82" s="102"/>
      <c r="CG82" s="103"/>
      <c r="CH82" s="534"/>
      <c r="CI82" s="378"/>
    </row>
    <row r="83" spans="1:93" ht="18.75" hidden="1" outlineLevel="1">
      <c r="A83" s="484"/>
      <c r="B83" s="505"/>
      <c r="C83" s="505"/>
      <c r="D83" s="248"/>
      <c r="E83" s="62"/>
      <c r="F83" s="270"/>
      <c r="G83" s="65"/>
      <c r="H83" s="80"/>
      <c r="I83" s="80"/>
      <c r="J83" s="80"/>
      <c r="K83" s="66"/>
      <c r="L83" s="270"/>
      <c r="M83" s="252"/>
      <c r="N83" s="252"/>
      <c r="O83" s="71"/>
      <c r="P83" s="71"/>
      <c r="Q83" s="71"/>
      <c r="R83" s="71"/>
      <c r="S83" s="273"/>
      <c r="T83" s="63"/>
      <c r="U83" s="71"/>
      <c r="V83" s="71"/>
      <c r="W83" s="71"/>
      <c r="X83" s="71"/>
      <c r="Y83" s="63"/>
      <c r="Z83" s="71"/>
      <c r="AA83" s="71"/>
      <c r="AB83" s="71"/>
      <c r="AC83" s="72"/>
      <c r="AD83" s="274"/>
      <c r="AE83" s="555"/>
      <c r="AF83" s="555"/>
      <c r="AG83" s="555"/>
      <c r="AH83" s="74"/>
      <c r="AI83" s="75"/>
      <c r="AJ83" s="276"/>
      <c r="AK83" s="77"/>
      <c r="AL83" s="77"/>
      <c r="AM83" s="74"/>
      <c r="AN83" s="75"/>
      <c r="AO83" s="78"/>
      <c r="AP83" s="74"/>
      <c r="AQ83" s="256"/>
      <c r="AR83" s="74"/>
      <c r="AS83" s="112"/>
      <c r="AT83" s="60"/>
      <c r="AU83" s="247"/>
      <c r="AV83" s="247"/>
      <c r="AW83" s="68"/>
      <c r="AX83" s="258"/>
      <c r="AY83" s="514"/>
      <c r="AZ83" s="84"/>
      <c r="BA83" s="556"/>
      <c r="BB83" s="63"/>
      <c r="BC83" s="312"/>
      <c r="BD83" s="139"/>
      <c r="BE83" s="374"/>
      <c r="BF83" s="375"/>
      <c r="BG83" s="382"/>
      <c r="BH83" s="91"/>
      <c r="BI83" s="91"/>
      <c r="BJ83" s="91"/>
      <c r="BK83" s="91"/>
      <c r="BL83" s="91"/>
      <c r="BM83" s="91"/>
      <c r="BN83" s="450"/>
      <c r="BO83" s="450"/>
      <c r="BP83" s="457"/>
      <c r="BQ83" s="458"/>
      <c r="BR83" s="130"/>
      <c r="BS83" s="131"/>
      <c r="BT83" s="131"/>
      <c r="BU83" s="1922"/>
      <c r="BV83" s="99"/>
      <c r="BW83" s="284"/>
      <c r="BX83" s="132"/>
      <c r="BY83" s="132"/>
      <c r="BZ83" s="101"/>
      <c r="CA83" s="102"/>
      <c r="CB83" s="562"/>
      <c r="CC83" s="125"/>
      <c r="CD83" s="105"/>
      <c r="CE83" s="133"/>
      <c r="CF83" s="102"/>
      <c r="CG83" s="103"/>
      <c r="CH83" s="534"/>
      <c r="CI83" s="378"/>
    </row>
    <row r="84" spans="1:93" ht="18.75" hidden="1" outlineLevel="1">
      <c r="A84" s="148" t="s">
        <v>86</v>
      </c>
      <c r="B84" s="149">
        <f>COUNTIF(A82:A82,$B$1)</f>
        <v>0</v>
      </c>
      <c r="C84" s="150"/>
      <c r="D84" s="151"/>
      <c r="E84" s="151"/>
      <c r="F84" s="151"/>
      <c r="G84" s="152"/>
      <c r="H84" s="152">
        <f>SUMIF(A82:A82,$B$1,H82:H82)</f>
        <v>0</v>
      </c>
      <c r="I84" s="152">
        <f>SUM(I82:I82)</f>
        <v>0</v>
      </c>
      <c r="J84" s="152"/>
      <c r="K84" s="152"/>
      <c r="L84" s="153">
        <f>SUMIF(A82:A82,$B$1,L82:L82)</f>
        <v>0</v>
      </c>
      <c r="M84" s="152"/>
      <c r="N84" s="152"/>
      <c r="O84" s="152"/>
      <c r="P84" s="152"/>
      <c r="Q84" s="152"/>
      <c r="R84" s="152"/>
      <c r="S84" s="152"/>
      <c r="T84" s="152"/>
      <c r="U84" s="152"/>
      <c r="V84" s="151"/>
      <c r="W84" s="151"/>
      <c r="X84" s="151"/>
      <c r="Y84" s="152"/>
      <c r="Z84" s="152"/>
      <c r="AA84" s="151"/>
      <c r="AB84" s="151"/>
      <c r="AC84" s="151"/>
      <c r="AD84" s="151"/>
      <c r="AE84" s="154"/>
      <c r="AF84" s="155"/>
      <c r="AG84" s="156"/>
      <c r="AH84" s="152"/>
      <c r="AI84" s="157"/>
      <c r="AJ84" s="296"/>
      <c r="AK84" s="156"/>
      <c r="AL84" s="156"/>
      <c r="AM84" s="152"/>
      <c r="AN84" s="157"/>
      <c r="AO84" s="297">
        <f>COUNTA(AO82:AO83)</f>
        <v>0</v>
      </c>
      <c r="AP84" s="152">
        <f>SUM(AP82:AP83)</f>
        <v>0</v>
      </c>
      <c r="AQ84" s="152">
        <f>SUM(AQ82:AQ83)</f>
        <v>0</v>
      </c>
      <c r="AR84" s="161"/>
      <c r="AS84" s="151"/>
      <c r="AT84" s="151"/>
      <c r="AU84" s="151"/>
      <c r="AV84" s="151"/>
      <c r="AW84" s="151"/>
      <c r="AX84" s="151"/>
      <c r="AY84" s="151"/>
      <c r="AZ84" s="163">
        <f>SUM(AZ82:AZ83)</f>
        <v>0</v>
      </c>
      <c r="BA84" s="163">
        <f>SUM(BA82:BA83)</f>
        <v>0</v>
      </c>
      <c r="BB84" s="163">
        <f>SUM(BB82:BB83)</f>
        <v>0</v>
      </c>
      <c r="BC84" s="221" t="str">
        <f>IF(COUNT(BC82:BC83)=0,"-",AVERAGE(BC82:BC83))</f>
        <v>-</v>
      </c>
      <c r="BD84" s="165"/>
      <c r="BE84" s="340"/>
      <c r="BF84" s="340"/>
      <c r="BG84" s="341"/>
      <c r="BH84" s="341"/>
      <c r="BI84" s="341"/>
      <c r="BJ84" s="341"/>
      <c r="BK84" s="341"/>
      <c r="BL84" s="341"/>
      <c r="BM84" s="341"/>
      <c r="BN84" s="341"/>
      <c r="BO84" s="341"/>
      <c r="BP84" s="583">
        <f>SUM(BP77:BP82)</f>
        <v>0</v>
      </c>
      <c r="BQ84" s="163">
        <f>SUM(BQ77:BQ82)</f>
        <v>0</v>
      </c>
      <c r="BR84" s="496">
        <f>COUNTA(BR77:BR82)</f>
        <v>0</v>
      </c>
      <c r="BS84" s="462">
        <f>SUM(BS82:BS82,BS77:BS78)</f>
        <v>0</v>
      </c>
      <c r="BT84" s="470"/>
      <c r="BU84" s="1927">
        <f>SUM(BU82:BU82,BU77:BU78)</f>
        <v>0</v>
      </c>
      <c r="BV84" s="498"/>
      <c r="BW84" s="496">
        <f>COUNTA(BW77:BW82)</f>
        <v>0</v>
      </c>
      <c r="BX84" s="462">
        <f>COUNTA(BX77:BX82)</f>
        <v>0</v>
      </c>
      <c r="BY84" s="463">
        <f>COUNTA(BY77:BY82)</f>
        <v>0</v>
      </c>
      <c r="BZ84" s="171"/>
      <c r="CA84" s="548"/>
      <c r="CB84" s="173">
        <f>AO84</f>
        <v>0</v>
      </c>
      <c r="CC84" s="173">
        <f>COUNTIF(CC82:CC82,"=0")</f>
        <v>0</v>
      </c>
      <c r="CD84" s="174">
        <f>SUM(COUNTIF(CC82:CC82,"&lt;0"),COUNTIF(CC82:CC82,"&gt;0"))</f>
        <v>0</v>
      </c>
      <c r="CE84" s="225">
        <f>COUNTIF(CE77:CE78,"1")</f>
        <v>0</v>
      </c>
      <c r="CF84" s="226">
        <f>SUM(CF77:CF78)</f>
        <v>0</v>
      </c>
      <c r="CG84" s="227">
        <f>COUNTIF(CG77:CG82,"1")</f>
        <v>0</v>
      </c>
      <c r="CH84" s="228">
        <f>SUM(CH77:CH82)</f>
        <v>0</v>
      </c>
      <c r="CI84" s="347"/>
    </row>
    <row r="85" spans="1:93" ht="18.75" hidden="1" outlineLevel="1">
      <c r="A85" s="179" t="s">
        <v>87</v>
      </c>
      <c r="B85" s="180">
        <f>COUNT(A82:A82)</f>
        <v>0</v>
      </c>
      <c r="C85" s="181"/>
      <c r="D85" s="182"/>
      <c r="E85" s="182"/>
      <c r="F85" s="182"/>
      <c r="G85" s="184"/>
      <c r="H85" s="184">
        <f>SUM(H84,H79)</f>
        <v>0</v>
      </c>
      <c r="I85" s="184"/>
      <c r="J85" s="184">
        <f>SUM(J82:J82)</f>
        <v>0</v>
      </c>
      <c r="K85" s="184"/>
      <c r="L85" s="184"/>
      <c r="M85" s="184"/>
      <c r="N85" s="184"/>
      <c r="O85" s="184"/>
      <c r="P85" s="184"/>
      <c r="Q85" s="184"/>
      <c r="R85" s="184"/>
      <c r="S85" s="185"/>
      <c r="T85" s="187"/>
      <c r="U85" s="185"/>
      <c r="V85" s="182"/>
      <c r="W85" s="182"/>
      <c r="X85" s="182"/>
      <c r="Y85" s="187"/>
      <c r="Z85" s="185"/>
      <c r="AA85" s="182"/>
      <c r="AB85" s="182"/>
      <c r="AC85" s="182"/>
      <c r="AD85" s="182"/>
      <c r="AE85" s="186"/>
      <c r="AF85" s="186"/>
      <c r="AG85" s="186"/>
      <c r="AH85" s="184"/>
      <c r="AI85" s="184"/>
      <c r="AJ85" s="186"/>
      <c r="AK85" s="186"/>
      <c r="AL85" s="186"/>
      <c r="AM85" s="184"/>
      <c r="AN85" s="184"/>
      <c r="AO85" s="182">
        <f>SUM(AO84,AO79)</f>
        <v>0</v>
      </c>
      <c r="AP85" s="182"/>
      <c r="AQ85" s="182"/>
      <c r="AR85" s="187"/>
      <c r="AS85" s="182"/>
      <c r="AT85" s="182"/>
      <c r="AU85" s="182"/>
      <c r="AV85" s="182"/>
      <c r="AW85" s="182"/>
      <c r="AX85" s="182"/>
      <c r="AY85" s="182"/>
      <c r="AZ85" s="188">
        <f>SUM(AZ84,AZ79)</f>
        <v>0</v>
      </c>
      <c r="BA85" s="188">
        <f>SUM(BA84,BA79)</f>
        <v>0</v>
      </c>
      <c r="BB85" s="188">
        <f>SUM(BB84,BB79)</f>
        <v>0</v>
      </c>
      <c r="BC85" s="229" t="str">
        <f>IF(COUNT(BC82:BC83,BC77:BC78)=0,"-",AVERAGE(BC82:BC83,BC77:BC78))</f>
        <v>-</v>
      </c>
      <c r="BD85" s="188">
        <f>SUM(BD80)</f>
        <v>0</v>
      </c>
      <c r="BE85" s="535"/>
      <c r="BF85" s="535"/>
      <c r="BG85" s="476"/>
      <c r="BH85" s="476"/>
      <c r="BI85" s="476"/>
      <c r="BJ85" s="476"/>
      <c r="BK85" s="476"/>
      <c r="BL85" s="476"/>
      <c r="BM85" s="476"/>
      <c r="BN85" s="476"/>
      <c r="BO85" s="476"/>
      <c r="BP85" s="549"/>
      <c r="BQ85" s="237"/>
      <c r="BR85" s="471"/>
      <c r="BS85" s="472"/>
      <c r="BT85" s="472"/>
      <c r="BU85" s="1926"/>
      <c r="BV85" s="1914">
        <f>SUMIF(BV77:BV82,"",BU77:BU82)</f>
        <v>0</v>
      </c>
      <c r="BW85" s="471"/>
      <c r="BX85" s="472"/>
      <c r="BY85" s="473"/>
      <c r="BZ85" s="360"/>
      <c r="CA85" s="235"/>
      <c r="CB85" s="197">
        <f>SUM(CB82:CB82)</f>
        <v>0</v>
      </c>
      <c r="CC85" s="197">
        <f>SUMIF(CC82:CC82,"=0",CD82:CD82)</f>
        <v>0</v>
      </c>
      <c r="CD85" s="198">
        <f>SUMIF(CC82:CC82,"&lt;&gt;0",CD82:CD82)</f>
        <v>0</v>
      </c>
      <c r="CE85" s="477"/>
      <c r="CF85" s="308"/>
      <c r="CG85" s="308"/>
      <c r="CH85" s="230"/>
      <c r="CI85" s="584"/>
    </row>
    <row r="86" spans="1:93" ht="13.5" hidden="1" customHeight="1" outlineLevel="1">
      <c r="A86" s="585"/>
      <c r="B86" s="586"/>
      <c r="C86" s="586"/>
      <c r="D86" s="586"/>
      <c r="E86" s="586"/>
      <c r="F86" s="586"/>
      <c r="G86" s="587"/>
      <c r="H86" s="587"/>
      <c r="I86" s="587"/>
      <c r="J86" s="587"/>
      <c r="K86" s="587"/>
      <c r="L86" s="587"/>
      <c r="M86" s="587"/>
      <c r="N86" s="587"/>
      <c r="O86" s="587"/>
      <c r="P86" s="587"/>
      <c r="Q86" s="587"/>
      <c r="R86" s="587"/>
      <c r="S86" s="587"/>
      <c r="T86" s="588"/>
      <c r="U86" s="587"/>
      <c r="V86" s="586"/>
      <c r="W86" s="586"/>
      <c r="X86" s="586"/>
      <c r="Y86" s="588"/>
      <c r="Z86" s="587"/>
      <c r="AA86" s="586"/>
      <c r="AB86" s="586"/>
      <c r="AC86" s="586"/>
      <c r="AD86" s="586"/>
      <c r="AE86" s="589"/>
      <c r="AF86" s="589"/>
      <c r="AG86" s="589"/>
      <c r="AH86" s="587"/>
      <c r="AI86" s="587"/>
      <c r="AJ86" s="589"/>
      <c r="AK86" s="589"/>
      <c r="AL86" s="589"/>
      <c r="AM86" s="587"/>
      <c r="AN86" s="587"/>
      <c r="AO86" s="586"/>
      <c r="AP86" s="586"/>
      <c r="AQ86" s="586"/>
      <c r="AR86" s="588"/>
      <c r="AS86" s="586"/>
      <c r="AT86" s="586"/>
      <c r="AU86" s="586"/>
      <c r="AV86" s="586"/>
      <c r="AW86" s="586"/>
      <c r="AX86" s="586"/>
      <c r="AY86" s="586"/>
      <c r="AZ86" s="588"/>
      <c r="BA86" s="588"/>
      <c r="BB86" s="588"/>
      <c r="BC86" s="590"/>
      <c r="BD86" s="591"/>
      <c r="BE86" s="592"/>
      <c r="BF86" s="593"/>
      <c r="BG86" s="593"/>
      <c r="BH86" s="593"/>
      <c r="BI86" s="593"/>
      <c r="BJ86" s="593"/>
      <c r="BK86" s="593"/>
      <c r="BL86" s="593"/>
      <c r="BM86" s="593"/>
      <c r="BN86" s="593"/>
      <c r="BO86" s="593"/>
      <c r="BP86" s="594"/>
      <c r="BQ86" s="595"/>
      <c r="BR86" s="596"/>
      <c r="BS86" s="597"/>
      <c r="BT86" s="597"/>
      <c r="BU86" s="1898"/>
      <c r="BV86" s="598"/>
      <c r="BW86" s="599"/>
      <c r="BX86" s="600"/>
      <c r="BY86" s="600"/>
      <c r="BZ86" s="601"/>
      <c r="CA86" s="602"/>
      <c r="CB86" s="603"/>
      <c r="CC86" s="603"/>
      <c r="CD86" s="604"/>
      <c r="CE86" s="605"/>
      <c r="CF86" s="605"/>
      <c r="CG86" s="605"/>
      <c r="CH86" s="605"/>
      <c r="CI86" s="606"/>
    </row>
    <row r="87" spans="1:93" ht="28.5" hidden="1" customHeight="1" outlineLevel="1" collapsed="1">
      <c r="A87" s="2143" t="s">
        <v>103</v>
      </c>
      <c r="B87" s="2143"/>
      <c r="C87" s="2143"/>
      <c r="D87" s="2143"/>
      <c r="E87" s="2143"/>
      <c r="F87" s="2143"/>
      <c r="G87" s="2143"/>
      <c r="H87" s="2143"/>
      <c r="I87" s="362"/>
      <c r="J87" s="362"/>
      <c r="K87" s="362"/>
      <c r="L87" s="362"/>
      <c r="M87" s="362"/>
      <c r="N87" s="362"/>
      <c r="O87" s="362"/>
      <c r="P87" s="362"/>
      <c r="Q87" s="362"/>
      <c r="R87" s="362"/>
      <c r="S87" s="362"/>
      <c r="T87" s="362"/>
      <c r="U87" s="362"/>
      <c r="V87" s="362"/>
      <c r="W87" s="362"/>
      <c r="X87" s="362"/>
      <c r="Y87" s="362"/>
      <c r="Z87" s="362"/>
      <c r="AA87" s="362"/>
      <c r="AB87" s="362"/>
      <c r="AC87" s="362"/>
      <c r="AD87" s="814"/>
      <c r="AE87" s="362"/>
      <c r="AF87" s="362"/>
      <c r="AG87" s="362"/>
      <c r="AH87" s="362"/>
      <c r="AI87" s="362"/>
      <c r="AJ87" s="362"/>
      <c r="AK87" s="362"/>
      <c r="AL87" s="362"/>
      <c r="AM87" s="362"/>
      <c r="AN87" s="362"/>
      <c r="AO87" s="362"/>
      <c r="AP87" s="362"/>
      <c r="AQ87" s="362"/>
      <c r="AR87" s="362"/>
      <c r="AS87" s="362"/>
      <c r="AT87" s="362"/>
      <c r="AU87" s="362"/>
      <c r="AV87" s="362"/>
      <c r="AW87" s="362"/>
      <c r="AX87" s="362"/>
      <c r="AY87" s="362"/>
      <c r="AZ87" s="362"/>
      <c r="BA87" s="362"/>
      <c r="BB87" s="362"/>
      <c r="BC87" s="362"/>
      <c r="BD87" s="363"/>
      <c r="BE87" s="363"/>
      <c r="BF87" s="364"/>
      <c r="BG87" s="364"/>
      <c r="BH87" s="364"/>
      <c r="BI87" s="364"/>
      <c r="BJ87" s="364"/>
      <c r="BK87" s="364"/>
      <c r="BL87" s="364"/>
      <c r="BM87" s="364"/>
      <c r="BN87" s="364"/>
      <c r="BO87" s="364"/>
      <c r="BP87" s="365"/>
      <c r="BQ87" s="244"/>
      <c r="BR87" s="366"/>
      <c r="BS87" s="367"/>
      <c r="BT87" s="367"/>
      <c r="BU87" s="1895"/>
      <c r="BV87" s="608"/>
      <c r="BW87" s="609"/>
      <c r="BX87" s="610"/>
      <c r="BY87" s="608"/>
      <c r="BZ87" s="52"/>
      <c r="CA87" s="53"/>
      <c r="CB87" s="53"/>
      <c r="CC87" s="53"/>
      <c r="CD87" s="206"/>
      <c r="CE87" s="482"/>
      <c r="CF87" s="478"/>
      <c r="CG87" s="478"/>
      <c r="CH87" s="478"/>
      <c r="CI87" s="210"/>
      <c r="CJ87" s="611"/>
    </row>
    <row r="88" spans="1:93" ht="36.75" hidden="1" customHeight="1" outlineLevel="1">
      <c r="A88" s="59"/>
      <c r="B88" s="247"/>
      <c r="C88" s="247"/>
      <c r="D88" s="612"/>
      <c r="E88" s="248"/>
      <c r="F88" s="247"/>
      <c r="G88" s="64">
        <f>M88</f>
        <v>0</v>
      </c>
      <c r="H88" s="65">
        <f>M88-T88</f>
        <v>0</v>
      </c>
      <c r="I88" s="65">
        <f>IF($B$2&gt;=A88,($B$2-A88+1)*H88,"-")</f>
        <v>0</v>
      </c>
      <c r="J88" s="65">
        <f>($A$2-A88+1)*H88</f>
        <v>0</v>
      </c>
      <c r="K88" s="66"/>
      <c r="L88" s="67">
        <f ca="1">IF((AE88)&lt;$L$2-DAY($L$2)+1,H88,H88+T88)</f>
        <v>0</v>
      </c>
      <c r="M88" s="252"/>
      <c r="N88" s="252"/>
      <c r="O88" s="69"/>
      <c r="P88" s="71"/>
      <c r="Q88" s="71"/>
      <c r="R88" s="71"/>
      <c r="S88" s="273"/>
      <c r="T88" s="63"/>
      <c r="U88" s="71"/>
      <c r="V88" s="69"/>
      <c r="W88" s="70"/>
      <c r="X88" s="70"/>
      <c r="Y88" s="63"/>
      <c r="Z88" s="71"/>
      <c r="AA88" s="287"/>
      <c r="AB88" s="70"/>
      <c r="AC88" s="537"/>
      <c r="AD88" s="638" t="s">
        <v>90</v>
      </c>
      <c r="AE88" s="319"/>
      <c r="AF88" s="288"/>
      <c r="AG88" s="1728"/>
      <c r="AH88" s="74">
        <f>IF(AE88="переход","",AF88-AE88)</f>
        <v>0</v>
      </c>
      <c r="AI88" s="75" t="str">
        <f>IF(T88="","",AH88*T88)</f>
        <v/>
      </c>
      <c r="AJ88" s="253"/>
      <c r="AK88" s="77"/>
      <c r="AL88" s="77"/>
      <c r="AM88" s="74"/>
      <c r="AN88" s="75" t="str">
        <f>IF(Y88="","",AM88*Y88)</f>
        <v/>
      </c>
      <c r="AO88" s="78"/>
      <c r="AP88" s="117"/>
      <c r="AQ88" s="613"/>
      <c r="AR88" s="614"/>
      <c r="AS88" s="119"/>
      <c r="AT88" s="119"/>
      <c r="AU88" s="615"/>
      <c r="AV88" s="120"/>
      <c r="AW88" s="120"/>
      <c r="AX88" s="616"/>
      <c r="AY88" s="83" t="s">
        <v>84</v>
      </c>
      <c r="AZ88" s="311" t="str">
        <f>IF(AP88&lt;1,"-",AP88-Y88)</f>
        <v>-</v>
      </c>
      <c r="BA88" s="64" t="str">
        <f>IF(AZ88="-","-",($B$2-AO88+1)*AZ88)</f>
        <v>-</v>
      </c>
      <c r="BB88" s="63" t="str">
        <f>IF(AZ88="-","-",AZ88-H88)</f>
        <v>-</v>
      </c>
      <c r="BC88" s="86"/>
      <c r="BD88" s="139">
        <f>IF(AP88&lt;1,IF($B$2&gt;=A88,($A$2-A88+1)*-1*H88,"-"),AZ88*($A$2-AO88+1)-H88*($A$2-A88+1))</f>
        <v>0</v>
      </c>
      <c r="BE88" s="511"/>
      <c r="BF88" s="617"/>
      <c r="BG88" s="618"/>
      <c r="BH88" s="87"/>
      <c r="BI88" s="450"/>
      <c r="BJ88" s="390"/>
      <c r="BK88" s="619"/>
      <c r="BL88" s="619"/>
      <c r="BM88" s="620"/>
      <c r="BN88" s="103" t="str">
        <f>IF(BH88=0,"-",BH88-AP88)</f>
        <v>-</v>
      </c>
      <c r="BO88" s="103" t="str">
        <f>IF(BI88=0,"-",BI88-AQ88)</f>
        <v>-</v>
      </c>
      <c r="BP88" s="103" t="str">
        <f>IF(BN88="-","-",AZ88+BN88)</f>
        <v>-</v>
      </c>
      <c r="BQ88" s="103" t="str">
        <f>IF(BN88="-","-",(($B$2-AO88+1)*(AZ88+BN88)))</f>
        <v>-</v>
      </c>
      <c r="BR88" s="315"/>
      <c r="BS88" s="214"/>
      <c r="BT88" s="131"/>
      <c r="BU88" s="1923"/>
      <c r="BV88" s="99"/>
      <c r="BW88" s="215"/>
      <c r="BX88" s="214"/>
      <c r="BY88" s="621"/>
      <c r="BZ88" s="622"/>
      <c r="CA88" s="623"/>
      <c r="CB88" s="624"/>
      <c r="CC88" s="625"/>
      <c r="CD88" s="626"/>
      <c r="CE88" s="627"/>
      <c r="CF88" s="107"/>
      <c r="CG88" s="108"/>
      <c r="CH88" s="109"/>
      <c r="CI88" s="110"/>
      <c r="CJ88" s="111"/>
      <c r="CK88" s="628"/>
      <c r="CL88" s="238"/>
      <c r="CM88" s="111"/>
    </row>
    <row r="89" spans="1:93" ht="28.5" hidden="1" customHeight="1" outlineLevel="1">
      <c r="A89" s="59"/>
      <c r="B89" s="247"/>
      <c r="C89" s="247"/>
      <c r="D89" s="612"/>
      <c r="E89" s="248"/>
      <c r="F89" s="247"/>
      <c r="G89" s="64"/>
      <c r="H89" s="65"/>
      <c r="I89" s="65"/>
      <c r="J89" s="65"/>
      <c r="K89" s="66"/>
      <c r="L89" s="67"/>
      <c r="M89" s="252"/>
      <c r="N89" s="252"/>
      <c r="O89" s="69"/>
      <c r="P89" s="71"/>
      <c r="Q89" s="71"/>
      <c r="R89" s="71"/>
      <c r="S89" s="629"/>
      <c r="T89" s="630"/>
      <c r="U89" s="631"/>
      <c r="V89" s="69"/>
      <c r="W89" s="70"/>
      <c r="X89" s="70"/>
      <c r="Y89" s="63"/>
      <c r="Z89" s="71"/>
      <c r="AA89" s="632"/>
      <c r="AB89" s="70"/>
      <c r="AC89" s="537"/>
      <c r="AD89" s="638" t="s">
        <v>90</v>
      </c>
      <c r="AE89" s="253"/>
      <c r="AF89" s="135"/>
      <c r="AG89" s="135"/>
      <c r="AH89" s="74">
        <f>IF(AE89="переход","",AF89-AE89)</f>
        <v>0</v>
      </c>
      <c r="AI89" s="75" t="str">
        <f>IF(T89="","",AH89*T89)</f>
        <v/>
      </c>
      <c r="AJ89" s="253"/>
      <c r="AK89" s="77"/>
      <c r="AL89" s="77">
        <f>AK89</f>
        <v>0</v>
      </c>
      <c r="AM89" s="74">
        <f>SUM(IF(AJ89="переход","",IF(AL89="переход",$D$1-AJ89,AL89-AJ89)))</f>
        <v>0</v>
      </c>
      <c r="AN89" s="75" t="str">
        <f>IF(Y89="","",AM89*Y89)</f>
        <v/>
      </c>
      <c r="AO89" s="78"/>
      <c r="AP89" s="74"/>
      <c r="AQ89" s="256"/>
      <c r="AR89" s="614"/>
      <c r="AS89" s="80"/>
      <c r="AT89" s="80"/>
      <c r="AU89" s="68"/>
      <c r="AV89" s="68"/>
      <c r="AW89" s="68"/>
      <c r="AX89" s="373"/>
      <c r="AY89" s="83" t="s">
        <v>84</v>
      </c>
      <c r="AZ89" s="311" t="str">
        <f>IF(AP89&lt;1,"-",AP89-Y89)</f>
        <v>-</v>
      </c>
      <c r="BA89" s="64" t="str">
        <f>IF(AZ89="-","-",($B$2-AO89+1)*AZ89)</f>
        <v>-</v>
      </c>
      <c r="BB89" s="85" t="str">
        <f>IF(AZ89="-","-",AZ89-H89)</f>
        <v>-</v>
      </c>
      <c r="BC89" s="86" t="str">
        <f>IF(AZ89="-","-",AZ89/H89)</f>
        <v>-</v>
      </c>
      <c r="BD89" s="139">
        <f>IF(AP89&lt;1,IF($B$2&gt;=A89,($A$2-A89+1)*-1*H89,"-"),AZ89*($A$2-AO89+1)-H89*($A$2-A89+1))</f>
        <v>0</v>
      </c>
      <c r="BE89" s="511"/>
      <c r="BF89" s="617"/>
      <c r="BG89" s="618"/>
      <c r="BH89" s="390"/>
      <c r="BI89" s="450"/>
      <c r="BJ89" s="390"/>
      <c r="BK89" s="619"/>
      <c r="BL89" s="619"/>
      <c r="BM89" s="620"/>
      <c r="BN89" s="103" t="str">
        <f>IF(BH89=0,"-",BH89-AP89)</f>
        <v>-</v>
      </c>
      <c r="BO89" s="103" t="str">
        <f>IF(BI89=0,"-",BI89-AQ89)</f>
        <v>-</v>
      </c>
      <c r="BP89" s="103" t="str">
        <f>IF(BN89="-","-",AZ89+BN89)</f>
        <v>-</v>
      </c>
      <c r="BQ89" s="103" t="str">
        <f>IF(BN89="-","-",(($B$2-AO89+1)*(AZ89+BN89)))</f>
        <v>-</v>
      </c>
      <c r="BR89" s="315"/>
      <c r="BS89" s="214" t="str">
        <f>IF(AJ89="переход",0,AN89)</f>
        <v/>
      </c>
      <c r="BT89" s="131"/>
      <c r="BU89" s="1923"/>
      <c r="BV89" s="99"/>
      <c r="BW89" s="215"/>
      <c r="BX89" s="214" t="str">
        <f>AI89</f>
        <v/>
      </c>
      <c r="BY89" s="621"/>
      <c r="BZ89" s="622"/>
      <c r="CA89" s="623"/>
      <c r="CB89" s="624"/>
      <c r="CC89" s="625"/>
      <c r="CD89" s="626"/>
      <c r="CE89" s="627"/>
      <c r="CF89" s="107"/>
      <c r="CG89" s="108"/>
      <c r="CH89" s="109"/>
      <c r="CI89" s="110"/>
      <c r="CJ89" s="111"/>
      <c r="CK89" s="628"/>
      <c r="CM89" s="111"/>
      <c r="CO89" s="633"/>
    </row>
    <row r="90" spans="1:93" ht="28.5" hidden="1" customHeight="1" outlineLevel="1">
      <c r="A90" s="59"/>
      <c r="B90" s="247"/>
      <c r="C90" s="247"/>
      <c r="D90" s="248"/>
      <c r="E90" s="248"/>
      <c r="F90" s="634"/>
      <c r="G90" s="64">
        <f>M90</f>
        <v>0</v>
      </c>
      <c r="H90" s="65">
        <f t="shared" ref="H90:H95" si="7">M90-T90</f>
        <v>0</v>
      </c>
      <c r="I90" s="65">
        <f t="shared" ref="I90:I95" si="8">IF($B$2&gt;=A90,($B$2-A90+1)*H90,"-")</f>
        <v>0</v>
      </c>
      <c r="J90" s="65">
        <f t="shared" ref="J90:J95" si="9">($A$2-A90+1)*H90</f>
        <v>0</v>
      </c>
      <c r="K90" s="66"/>
      <c r="L90" s="67">
        <f t="shared" ref="L90:L95" ca="1" si="10">IF((AE90)&lt;$L$2-DAY($L$2)+1,H90,H90+T90)</f>
        <v>0</v>
      </c>
      <c r="M90" s="252"/>
      <c r="N90" s="252"/>
      <c r="O90" s="69"/>
      <c r="P90" s="71"/>
      <c r="Q90" s="71"/>
      <c r="R90" s="71"/>
      <c r="S90" s="66"/>
      <c r="T90" s="630"/>
      <c r="U90" s="631"/>
      <c r="V90" s="69"/>
      <c r="W90" s="635"/>
      <c r="X90" s="635"/>
      <c r="Y90" s="630"/>
      <c r="Z90" s="631"/>
      <c r="AA90" s="287"/>
      <c r="AB90" s="635"/>
      <c r="AC90" s="537"/>
      <c r="AD90" s="638" t="s">
        <v>90</v>
      </c>
      <c r="AE90" s="253"/>
      <c r="AF90" s="135"/>
      <c r="AG90" s="454"/>
      <c r="AH90" s="74">
        <f>IF(AE90="переход","",AF90-AE90)</f>
        <v>0</v>
      </c>
      <c r="AI90" s="75" t="str">
        <f>IF(T90="","",AH90*T90)</f>
        <v/>
      </c>
      <c r="AJ90" s="76"/>
      <c r="AK90" s="77"/>
      <c r="AL90" s="77">
        <f>AK90</f>
        <v>0</v>
      </c>
      <c r="AM90" s="74"/>
      <c r="AN90" s="75" t="str">
        <f>IF(Y90="","",AM90*Y90)</f>
        <v/>
      </c>
      <c r="AO90" s="78"/>
      <c r="AP90" s="74"/>
      <c r="AQ90" s="256"/>
      <c r="AR90" s="614"/>
      <c r="AS90" s="80"/>
      <c r="AT90" s="80"/>
      <c r="AU90" s="247"/>
      <c r="AV90" s="247"/>
      <c r="AW90" s="68"/>
      <c r="AX90" s="373"/>
      <c r="AY90" s="83" t="s">
        <v>84</v>
      </c>
      <c r="AZ90" s="311" t="str">
        <f>IF(AP90&lt;1,"-",AP90-Y90)</f>
        <v>-</v>
      </c>
      <c r="BA90" s="64" t="str">
        <f>IF(AZ90="-","-",($B$2-AO90+1)*AZ90)</f>
        <v>-</v>
      </c>
      <c r="BB90" s="85" t="str">
        <f>IF(AZ90="-","-",AZ90-H90)</f>
        <v>-</v>
      </c>
      <c r="BC90" s="86" t="str">
        <f>IF(AZ90="-","-",AZ90/H90)</f>
        <v>-</v>
      </c>
      <c r="BD90" s="139">
        <f>IF(AP90&lt;1,IF($B$2&gt;=A90,($A$2-A90+1)*-1*H90,"-"),AZ90*($A$2-AO90+1)-H90*($A$2-A90+1))</f>
        <v>0</v>
      </c>
      <c r="BE90" s="511"/>
      <c r="BF90" s="617"/>
      <c r="BG90" s="618"/>
      <c r="BH90" s="143"/>
      <c r="BI90" s="143"/>
      <c r="BJ90" s="144"/>
      <c r="BK90" s="636"/>
      <c r="BL90" s="636"/>
      <c r="BM90" s="637"/>
      <c r="BN90" s="103"/>
      <c r="BO90" s="103"/>
      <c r="BP90" s="103"/>
      <c r="BQ90" s="103"/>
      <c r="BR90" s="536"/>
      <c r="BS90" s="214" t="str">
        <f>IF(AJ90="переход",0,AN90)</f>
        <v/>
      </c>
      <c r="BT90" s="131"/>
      <c r="BU90" s="1923"/>
      <c r="BV90" s="99"/>
      <c r="BW90" s="215"/>
      <c r="BX90" s="214" t="str">
        <f>AI90</f>
        <v/>
      </c>
      <c r="BY90" s="621"/>
      <c r="BZ90" s="622"/>
      <c r="CA90" s="623"/>
      <c r="CB90" s="624"/>
      <c r="CC90" s="625"/>
      <c r="CD90" s="626"/>
      <c r="CE90" s="627"/>
      <c r="CF90" s="107"/>
      <c r="CG90" s="108"/>
      <c r="CH90" s="109"/>
      <c r="CI90" s="110"/>
      <c r="CJ90" s="111"/>
      <c r="CK90" s="628"/>
      <c r="CL90" s="111"/>
      <c r="CM90" s="111"/>
    </row>
    <row r="91" spans="1:93" ht="28.5" hidden="1" customHeight="1" outlineLevel="1">
      <c r="A91" s="59"/>
      <c r="B91" s="270"/>
      <c r="C91" s="270"/>
      <c r="D91" s="62"/>
      <c r="E91" s="62"/>
      <c r="F91" s="270"/>
      <c r="G91" s="64">
        <f>M91-T91</f>
        <v>0</v>
      </c>
      <c r="H91" s="80">
        <f t="shared" si="7"/>
        <v>0</v>
      </c>
      <c r="I91" s="80">
        <f t="shared" si="8"/>
        <v>0</v>
      </c>
      <c r="J91" s="80">
        <f t="shared" si="9"/>
        <v>0</v>
      </c>
      <c r="K91" s="66"/>
      <c r="L91" s="67">
        <f t="shared" ca="1" si="10"/>
        <v>0</v>
      </c>
      <c r="M91" s="252"/>
      <c r="N91" s="252"/>
      <c r="O91" s="287"/>
      <c r="P91" s="71"/>
      <c r="Q91" s="71"/>
      <c r="R91" s="71"/>
      <c r="S91" s="66"/>
      <c r="T91" s="630"/>
      <c r="U91" s="631"/>
      <c r="V91" s="287"/>
      <c r="W91" s="631"/>
      <c r="X91" s="631"/>
      <c r="Y91" s="63"/>
      <c r="Z91" s="631"/>
      <c r="AA91" s="287"/>
      <c r="AB91" s="631"/>
      <c r="AC91" s="537"/>
      <c r="AD91" s="638"/>
      <c r="AE91" s="253"/>
      <c r="AF91" s="275"/>
      <c r="AG91" s="275"/>
      <c r="AH91" s="74"/>
      <c r="AI91" s="75"/>
      <c r="AJ91" s="76"/>
      <c r="AK91" s="253"/>
      <c r="AL91" s="253"/>
      <c r="AM91" s="74"/>
      <c r="AN91" s="75"/>
      <c r="AO91" s="78"/>
      <c r="AP91" s="74"/>
      <c r="AQ91" s="256"/>
      <c r="AR91" s="639"/>
      <c r="AS91" s="65"/>
      <c r="AT91" s="65"/>
      <c r="AU91" s="270"/>
      <c r="AV91" s="270"/>
      <c r="AW91" s="252"/>
      <c r="AX91" s="640"/>
      <c r="AY91" s="213"/>
      <c r="AZ91" s="311"/>
      <c r="BA91" s="63"/>
      <c r="BB91" s="85"/>
      <c r="BC91" s="63"/>
      <c r="BD91" s="139"/>
      <c r="BE91" s="511"/>
      <c r="BF91" s="617"/>
      <c r="BG91" s="618"/>
      <c r="BH91" s="529"/>
      <c r="BI91" s="530"/>
      <c r="BJ91" s="641"/>
      <c r="BK91" s="642"/>
      <c r="BL91" s="642"/>
      <c r="BM91" s="643"/>
      <c r="BN91" s="644"/>
      <c r="BO91" s="645"/>
      <c r="BP91" s="644"/>
      <c r="BQ91" s="217"/>
      <c r="BR91" s="536"/>
      <c r="BS91" s="214"/>
      <c r="BT91" s="646"/>
      <c r="BU91" s="1923"/>
      <c r="BV91" s="99"/>
      <c r="BW91" s="215"/>
      <c r="BX91" s="214"/>
      <c r="BY91" s="621"/>
      <c r="BZ91" s="622"/>
      <c r="CA91" s="623"/>
      <c r="CB91" s="624"/>
      <c r="CC91" s="625"/>
      <c r="CD91" s="626"/>
      <c r="CE91" s="627"/>
      <c r="CF91" s="107"/>
      <c r="CG91" s="108"/>
      <c r="CH91" s="109"/>
      <c r="CI91" s="110"/>
      <c r="CJ91" s="111"/>
      <c r="CK91" s="628"/>
      <c r="CL91" s="111"/>
      <c r="CM91" s="111"/>
    </row>
    <row r="92" spans="1:93" ht="28.5" hidden="1" customHeight="1" outlineLevel="1">
      <c r="A92" s="59"/>
      <c r="B92" s="247"/>
      <c r="C92" s="247"/>
      <c r="D92" s="248"/>
      <c r="E92" s="248"/>
      <c r="F92" s="247"/>
      <c r="G92" s="64">
        <f>M92-T92</f>
        <v>0</v>
      </c>
      <c r="H92" s="80">
        <f t="shared" si="7"/>
        <v>0</v>
      </c>
      <c r="I92" s="80">
        <f t="shared" si="8"/>
        <v>0</v>
      </c>
      <c r="J92" s="80">
        <f t="shared" si="9"/>
        <v>0</v>
      </c>
      <c r="K92" s="66"/>
      <c r="L92" s="67">
        <f t="shared" ca="1" si="10"/>
        <v>0</v>
      </c>
      <c r="M92" s="252"/>
      <c r="N92" s="252"/>
      <c r="O92" s="287"/>
      <c r="P92" s="71"/>
      <c r="Q92" s="71"/>
      <c r="R92" s="71"/>
      <c r="S92" s="66"/>
      <c r="T92" s="630"/>
      <c r="U92" s="631"/>
      <c r="V92" s="287"/>
      <c r="W92" s="635"/>
      <c r="X92" s="635"/>
      <c r="Y92" s="630"/>
      <c r="Z92" s="631"/>
      <c r="AA92" s="287"/>
      <c r="AB92" s="635"/>
      <c r="AC92" s="537"/>
      <c r="AD92" s="638" t="s">
        <v>83</v>
      </c>
      <c r="AE92" s="253"/>
      <c r="AF92" s="135"/>
      <c r="AG92" s="135"/>
      <c r="AH92" s="74">
        <f>IF(AE92="переход","",AF92-AE92)</f>
        <v>0</v>
      </c>
      <c r="AI92" s="75" t="str">
        <f>IF(T92="","",AH92*T92)</f>
        <v/>
      </c>
      <c r="AJ92" s="76"/>
      <c r="AK92" s="253"/>
      <c r="AL92" s="253"/>
      <c r="AM92" s="74">
        <f>IF(AJ92="переход","",AL92-AJ92)</f>
        <v>0</v>
      </c>
      <c r="AN92" s="75" t="str">
        <f>IF(Y92="","",AM92*Y92)</f>
        <v/>
      </c>
      <c r="AO92" s="78"/>
      <c r="AP92" s="74"/>
      <c r="AQ92" s="256"/>
      <c r="AR92" s="647"/>
      <c r="AS92" s="80"/>
      <c r="AT92" s="80"/>
      <c r="AU92" s="247"/>
      <c r="AV92" s="247"/>
      <c r="AW92" s="68"/>
      <c r="AX92" s="373"/>
      <c r="AY92" s="83" t="s">
        <v>84</v>
      </c>
      <c r="AZ92" s="311" t="str">
        <f>IF(AP92&lt;1,"-",AP92-Y92)</f>
        <v>-</v>
      </c>
      <c r="BA92" s="64" t="str">
        <f>IF(AZ92="-","-",($B$2-AO92+1)*AZ92)</f>
        <v>-</v>
      </c>
      <c r="BB92" s="85" t="str">
        <f>IF(AZ92="-","-",AZ92-H92)</f>
        <v>-</v>
      </c>
      <c r="BC92" s="63" t="str">
        <f>IF(AZ92="-","-",AZ92/H92)</f>
        <v>-</v>
      </c>
      <c r="BD92" s="139">
        <f>IF(AP92&lt;1,IF($B$2&gt;=A92,($A$2-A92+1)*-1*H92,"-"),AZ92*($A$2-AO92+1)-H92*($A$2-A92+1))</f>
        <v>0</v>
      </c>
      <c r="BE92" s="511"/>
      <c r="BF92" s="617"/>
      <c r="BG92" s="618"/>
      <c r="BH92" s="529"/>
      <c r="BI92" s="530"/>
      <c r="BJ92" s="641"/>
      <c r="BK92" s="642"/>
      <c r="BL92" s="642"/>
      <c r="BM92" s="643"/>
      <c r="BN92" s="644"/>
      <c r="BO92" s="645"/>
      <c r="BP92" s="644"/>
      <c r="BQ92" s="217"/>
      <c r="BR92" s="536"/>
      <c r="BS92" s="214" t="str">
        <f>IF(AJ92="переход",0,AN92)</f>
        <v/>
      </c>
      <c r="BT92" s="646"/>
      <c r="BU92" s="1923"/>
      <c r="BV92" s="99" t="str">
        <f>IF(AO92&lt;1,"",(AO92))</f>
        <v/>
      </c>
      <c r="BW92" s="215"/>
      <c r="BX92" s="214"/>
      <c r="BY92" s="621"/>
      <c r="BZ92" s="622"/>
      <c r="CA92" s="623"/>
      <c r="CB92" s="624"/>
      <c r="CC92" s="625"/>
      <c r="CD92" s="626"/>
      <c r="CE92" s="627"/>
      <c r="CF92" s="107"/>
      <c r="CG92" s="108"/>
      <c r="CH92" s="109"/>
      <c r="CI92" s="110"/>
      <c r="CJ92" s="111"/>
      <c r="CK92" s="628"/>
      <c r="CL92" s="111"/>
      <c r="CM92" s="111"/>
    </row>
    <row r="93" spans="1:93" ht="28.5" hidden="1" customHeight="1" outlineLevel="1">
      <c r="A93" s="59"/>
      <c r="B93" s="247"/>
      <c r="C93" s="247"/>
      <c r="D93" s="248"/>
      <c r="E93" s="248"/>
      <c r="F93" s="247"/>
      <c r="G93" s="64">
        <f>M93-T93</f>
        <v>0</v>
      </c>
      <c r="H93" s="80">
        <f t="shared" si="7"/>
        <v>0</v>
      </c>
      <c r="I93" s="80">
        <f t="shared" si="8"/>
        <v>0</v>
      </c>
      <c r="J93" s="80">
        <f t="shared" si="9"/>
        <v>0</v>
      </c>
      <c r="K93" s="66"/>
      <c r="L93" s="67">
        <f t="shared" ca="1" si="10"/>
        <v>0</v>
      </c>
      <c r="M93" s="252"/>
      <c r="N93" s="252"/>
      <c r="O93" s="71"/>
      <c r="P93" s="71"/>
      <c r="Q93" s="71"/>
      <c r="R93" s="71"/>
      <c r="S93" s="629"/>
      <c r="T93" s="630"/>
      <c r="U93" s="631"/>
      <c r="V93" s="648"/>
      <c r="W93" s="635"/>
      <c r="X93" s="635"/>
      <c r="Y93" s="63"/>
      <c r="Z93" s="71"/>
      <c r="AA93" s="537"/>
      <c r="AB93" s="70"/>
      <c r="AC93" s="537"/>
      <c r="AD93" s="638"/>
      <c r="AE93" s="253"/>
      <c r="AF93" s="135"/>
      <c r="AG93" s="649"/>
      <c r="AH93" s="74"/>
      <c r="AI93" s="75"/>
      <c r="AJ93" s="76"/>
      <c r="AK93" s="77"/>
      <c r="AL93" s="77"/>
      <c r="AM93" s="74"/>
      <c r="AN93" s="75"/>
      <c r="AO93" s="78"/>
      <c r="AP93" s="74"/>
      <c r="AQ93" s="256"/>
      <c r="AR93" s="81"/>
      <c r="AS93" s="80"/>
      <c r="AT93" s="80"/>
      <c r="AU93" s="247"/>
      <c r="AV93" s="247"/>
      <c r="AW93" s="68"/>
      <c r="AX93" s="373"/>
      <c r="AY93" s="83"/>
      <c r="AZ93" s="311"/>
      <c r="BA93" s="250"/>
      <c r="BB93" s="85"/>
      <c r="BC93" s="63"/>
      <c r="BD93" s="139"/>
      <c r="BE93" s="511"/>
      <c r="BF93" s="617"/>
      <c r="BG93" s="618"/>
      <c r="BH93" s="529"/>
      <c r="BI93" s="530"/>
      <c r="BJ93" s="641"/>
      <c r="BK93" s="642"/>
      <c r="BL93" s="642"/>
      <c r="BM93" s="643"/>
      <c r="BN93" s="644"/>
      <c r="BO93" s="645"/>
      <c r="BP93" s="644"/>
      <c r="BQ93" s="217"/>
      <c r="BR93" s="536"/>
      <c r="BS93" s="214"/>
      <c r="BT93" s="646"/>
      <c r="BU93" s="1923"/>
      <c r="BV93" s="99"/>
      <c r="BW93" s="215"/>
      <c r="BX93" s="214"/>
      <c r="BY93" s="621"/>
      <c r="BZ93" s="622"/>
      <c r="CA93" s="623"/>
      <c r="CB93" s="624"/>
      <c r="CC93" s="625"/>
      <c r="CD93" s="626"/>
      <c r="CE93" s="627"/>
      <c r="CF93" s="107"/>
      <c r="CG93" s="108"/>
      <c r="CH93" s="109"/>
      <c r="CI93" s="110"/>
      <c r="CJ93" s="111"/>
      <c r="CK93" s="628"/>
      <c r="CL93" s="111"/>
      <c r="CM93" s="111"/>
    </row>
    <row r="94" spans="1:93" ht="28.5" hidden="1" customHeight="1" outlineLevel="1">
      <c r="A94" s="59"/>
      <c r="B94" s="247"/>
      <c r="C94" s="247"/>
      <c r="D94" s="248"/>
      <c r="E94" s="248"/>
      <c r="F94" s="247"/>
      <c r="G94" s="64">
        <f>M94-T94</f>
        <v>0</v>
      </c>
      <c r="H94" s="80">
        <f t="shared" si="7"/>
        <v>0</v>
      </c>
      <c r="I94" s="80">
        <f t="shared" si="8"/>
        <v>0</v>
      </c>
      <c r="J94" s="80">
        <f t="shared" si="9"/>
        <v>0</v>
      </c>
      <c r="K94" s="66"/>
      <c r="L94" s="67">
        <f t="shared" ca="1" si="10"/>
        <v>0</v>
      </c>
      <c r="M94" s="252"/>
      <c r="N94" s="252"/>
      <c r="O94" s="71"/>
      <c r="P94" s="71"/>
      <c r="Q94" s="71"/>
      <c r="R94" s="71"/>
      <c r="S94" s="629"/>
      <c r="T94" s="630"/>
      <c r="U94" s="631"/>
      <c r="V94" s="648"/>
      <c r="W94" s="635"/>
      <c r="X94" s="635"/>
      <c r="Y94" s="63"/>
      <c r="Z94" s="71"/>
      <c r="AA94" s="537"/>
      <c r="AB94" s="70"/>
      <c r="AC94" s="537"/>
      <c r="AD94" s="638"/>
      <c r="AE94" s="253"/>
      <c r="AF94" s="135"/>
      <c r="AG94" s="649"/>
      <c r="AH94" s="74"/>
      <c r="AI94" s="75"/>
      <c r="AJ94" s="76"/>
      <c r="AK94" s="77"/>
      <c r="AL94" s="77"/>
      <c r="AM94" s="74"/>
      <c r="AN94" s="75"/>
      <c r="AO94" s="78"/>
      <c r="AP94" s="74"/>
      <c r="AQ94" s="256"/>
      <c r="AR94" s="81"/>
      <c r="AS94" s="80"/>
      <c r="AT94" s="80"/>
      <c r="AU94" s="247"/>
      <c r="AV94" s="247"/>
      <c r="AW94" s="68"/>
      <c r="AX94" s="373"/>
      <c r="AY94" s="83"/>
      <c r="AZ94" s="311"/>
      <c r="BA94" s="250"/>
      <c r="BB94" s="85"/>
      <c r="BC94" s="63"/>
      <c r="BD94" s="139"/>
      <c r="BE94" s="511"/>
      <c r="BF94" s="617"/>
      <c r="BG94" s="618"/>
      <c r="BH94" s="529"/>
      <c r="BI94" s="530"/>
      <c r="BJ94" s="641"/>
      <c r="BK94" s="642"/>
      <c r="BL94" s="642"/>
      <c r="BM94" s="643"/>
      <c r="BN94" s="644"/>
      <c r="BO94" s="645"/>
      <c r="BP94" s="644"/>
      <c r="BQ94" s="217"/>
      <c r="BR94" s="536"/>
      <c r="BS94" s="214"/>
      <c r="BT94" s="646"/>
      <c r="BU94" s="1923"/>
      <c r="BV94" s="99"/>
      <c r="BW94" s="215"/>
      <c r="BX94" s="214"/>
      <c r="BY94" s="621"/>
      <c r="BZ94" s="622"/>
      <c r="CA94" s="623"/>
      <c r="CB94" s="624"/>
      <c r="CC94" s="625"/>
      <c r="CD94" s="626"/>
      <c r="CE94" s="627"/>
      <c r="CF94" s="107"/>
      <c r="CG94" s="108"/>
      <c r="CH94" s="109"/>
      <c r="CI94" s="110"/>
      <c r="CJ94" s="111"/>
      <c r="CK94" s="628"/>
      <c r="CL94" s="111"/>
      <c r="CM94" s="111"/>
    </row>
    <row r="95" spans="1:93" ht="28.5" hidden="1" customHeight="1" outlineLevel="1">
      <c r="A95" s="650"/>
      <c r="B95" s="651"/>
      <c r="C95" s="651"/>
      <c r="D95" s="652"/>
      <c r="E95" s="652"/>
      <c r="F95" s="651"/>
      <c r="G95" s="64">
        <f>M95-T95</f>
        <v>0</v>
      </c>
      <c r="H95" s="80">
        <f t="shared" si="7"/>
        <v>0</v>
      </c>
      <c r="I95" s="80">
        <f t="shared" si="8"/>
        <v>0</v>
      </c>
      <c r="J95" s="80">
        <f t="shared" si="9"/>
        <v>0</v>
      </c>
      <c r="K95" s="66"/>
      <c r="L95" s="67">
        <f t="shared" ca="1" si="10"/>
        <v>0</v>
      </c>
      <c r="M95" s="653"/>
      <c r="N95" s="653"/>
      <c r="O95" s="654"/>
      <c r="P95" s="654"/>
      <c r="Q95" s="654"/>
      <c r="R95" s="654"/>
      <c r="S95" s="655"/>
      <c r="T95" s="656"/>
      <c r="U95" s="654"/>
      <c r="V95" s="657"/>
      <c r="W95" s="658"/>
      <c r="X95" s="658"/>
      <c r="Y95" s="656"/>
      <c r="Z95" s="654"/>
      <c r="AA95" s="657"/>
      <c r="AB95" s="658"/>
      <c r="AC95" s="657"/>
      <c r="AD95" s="659"/>
      <c r="AE95" s="660"/>
      <c r="AF95" s="661"/>
      <c r="AG95" s="662"/>
      <c r="AH95" s="663"/>
      <c r="AI95" s="664"/>
      <c r="AJ95" s="665"/>
      <c r="AK95" s="666"/>
      <c r="AL95" s="666"/>
      <c r="AM95" s="663"/>
      <c r="AN95" s="664"/>
      <c r="AO95" s="667"/>
      <c r="AP95" s="663"/>
      <c r="AQ95" s="668"/>
      <c r="AR95" s="669"/>
      <c r="AS95" s="670"/>
      <c r="AT95" s="670"/>
      <c r="AU95" s="651"/>
      <c r="AV95" s="651"/>
      <c r="AW95" s="671"/>
      <c r="AX95" s="672"/>
      <c r="AY95" s="673"/>
      <c r="AZ95" s="674"/>
      <c r="BA95" s="675"/>
      <c r="BB95" s="656"/>
      <c r="BC95" s="676"/>
      <c r="BD95" s="677"/>
      <c r="BE95" s="511"/>
      <c r="BF95" s="617"/>
      <c r="BG95" s="618"/>
      <c r="BH95" s="391"/>
      <c r="BI95" s="450"/>
      <c r="BJ95" s="678"/>
      <c r="BK95" s="619"/>
      <c r="BL95" s="619"/>
      <c r="BM95" s="620"/>
      <c r="BN95" s="450"/>
      <c r="BO95" s="457"/>
      <c r="BP95" s="450"/>
      <c r="BQ95" s="458"/>
      <c r="BR95" s="679"/>
      <c r="BS95" s="214"/>
      <c r="BT95" s="646"/>
      <c r="BU95" s="1923"/>
      <c r="BV95" s="99" t="str">
        <f>IF(AO95&lt;1,"",(AO95))</f>
        <v/>
      </c>
      <c r="BW95" s="215"/>
      <c r="BX95" s="214"/>
      <c r="BY95" s="621"/>
      <c r="BZ95" s="622"/>
      <c r="CA95" s="623"/>
      <c r="CB95" s="624"/>
      <c r="CC95" s="625"/>
      <c r="CD95" s="626"/>
      <c r="CE95" s="627"/>
      <c r="CF95" s="107"/>
      <c r="CG95" s="108"/>
      <c r="CH95" s="109"/>
      <c r="CI95" s="110"/>
      <c r="CJ95" s="111"/>
      <c r="CK95" s="238"/>
      <c r="CL95" s="111"/>
      <c r="CM95" s="680">
        <f>AZ95*CK95</f>
        <v>0</v>
      </c>
    </row>
    <row r="96" spans="1:93" ht="28.5" hidden="1" customHeight="1" outlineLevel="1" collapsed="1">
      <c r="A96" s="681" t="s">
        <v>86</v>
      </c>
      <c r="B96" s="149">
        <f>COUNTIF(A88:A95,$B$1)</f>
        <v>0</v>
      </c>
      <c r="C96" s="150"/>
      <c r="D96" s="151"/>
      <c r="E96" s="151"/>
      <c r="F96" s="151"/>
      <c r="G96" s="152"/>
      <c r="H96" s="152">
        <f>SUMIF(A88:A95,$B$1,H88:H95)</f>
        <v>0</v>
      </c>
      <c r="I96" s="152">
        <f>SUM(I88:I95)</f>
        <v>0</v>
      </c>
      <c r="J96" s="152"/>
      <c r="K96" s="152"/>
      <c r="L96" s="152">
        <f>SUMIF(A88:A95,$B$1,L88:L95)</f>
        <v>0</v>
      </c>
      <c r="M96" s="152"/>
      <c r="N96" s="152"/>
      <c r="O96" s="152"/>
      <c r="P96" s="152"/>
      <c r="Q96" s="152"/>
      <c r="R96" s="152"/>
      <c r="S96" s="152"/>
      <c r="T96" s="152"/>
      <c r="U96" s="152"/>
      <c r="V96" s="151"/>
      <c r="W96" s="151"/>
      <c r="X96" s="151"/>
      <c r="Y96" s="152"/>
      <c r="Z96" s="152"/>
      <c r="AA96" s="151"/>
      <c r="AB96" s="151"/>
      <c r="AC96" s="151"/>
      <c r="AD96" s="151"/>
      <c r="AE96" s="154"/>
      <c r="AF96" s="155"/>
      <c r="AG96" s="156"/>
      <c r="AH96" s="152"/>
      <c r="AI96" s="157"/>
      <c r="AJ96" s="296"/>
      <c r="AK96" s="156"/>
      <c r="AL96" s="156"/>
      <c r="AM96" s="152"/>
      <c r="AN96" s="157"/>
      <c r="AO96" s="297">
        <f>COUNTA(AO88:AO95)</f>
        <v>0</v>
      </c>
      <c r="AP96" s="152"/>
      <c r="AQ96" s="152"/>
      <c r="AR96" s="161"/>
      <c r="AS96" s="151"/>
      <c r="AT96" s="151"/>
      <c r="AU96" s="151"/>
      <c r="AV96" s="151"/>
      <c r="AW96" s="151"/>
      <c r="AX96" s="151"/>
      <c r="AY96" s="151"/>
      <c r="AZ96" s="163">
        <f>SUM(AZ88:AZ95)</f>
        <v>0</v>
      </c>
      <c r="BA96" s="163">
        <f>SUM(BA88:BA95)</f>
        <v>0</v>
      </c>
      <c r="BB96" s="163">
        <f>SUM(BB88:BB95)</f>
        <v>0</v>
      </c>
      <c r="BC96" s="221" t="str">
        <f>IF(COUNT(BC88:BC95)=0,"-",AVERAGE(BC88:BC95))</f>
        <v>-</v>
      </c>
      <c r="BD96" s="165"/>
      <c r="BE96" s="222"/>
      <c r="BF96" s="222"/>
      <c r="BG96" s="223"/>
      <c r="BH96" s="223"/>
      <c r="BI96" s="223"/>
      <c r="BJ96" s="223"/>
      <c r="BK96" s="223"/>
      <c r="BL96" s="223"/>
      <c r="BM96" s="223"/>
      <c r="BN96" s="223"/>
      <c r="BO96" s="223"/>
      <c r="BP96" s="301"/>
      <c r="BQ96" s="683"/>
      <c r="BR96" s="496"/>
      <c r="BS96" s="462">
        <f>SUM(BS88:BS95)</f>
        <v>0</v>
      </c>
      <c r="BT96" s="470"/>
      <c r="BU96" s="1929">
        <f>BU88+BU89</f>
        <v>0</v>
      </c>
      <c r="BV96" s="498"/>
      <c r="BW96" s="345">
        <f>SUM(BW88:BW95)</f>
        <v>0</v>
      </c>
      <c r="BX96" s="462">
        <f>SUM(BX88:BX95)</f>
        <v>0</v>
      </c>
      <c r="BY96" s="463"/>
      <c r="BZ96" s="684"/>
      <c r="CA96" s="685"/>
      <c r="CB96" s="173">
        <f>AO96</f>
        <v>0</v>
      </c>
      <c r="CC96" s="173">
        <f>COUNTIF(CC88:CC95,"=0")</f>
        <v>0</v>
      </c>
      <c r="CD96" s="174">
        <f>SUM(COUNTIF(CC88:CC95,"&lt;0"),COUNTIF(CC88:CC95,"&gt;0"))</f>
        <v>0</v>
      </c>
      <c r="CE96" s="686"/>
      <c r="CF96" s="687"/>
      <c r="CG96" s="687"/>
      <c r="CH96" s="688"/>
      <c r="CI96" s="178"/>
      <c r="CJ96" s="111"/>
      <c r="CK96" s="111"/>
      <c r="CL96" s="111"/>
      <c r="CM96" s="111"/>
      <c r="CN96" s="111"/>
    </row>
    <row r="97" spans="1:91" ht="28.5" hidden="1" customHeight="1" outlineLevel="1">
      <c r="A97" s="179" t="s">
        <v>87</v>
      </c>
      <c r="B97" s="348">
        <f>COUNT(A88:A95)</f>
        <v>0</v>
      </c>
      <c r="C97" s="181"/>
      <c r="D97" s="182"/>
      <c r="E97" s="182"/>
      <c r="F97" s="182"/>
      <c r="G97" s="184"/>
      <c r="H97" s="184">
        <f>SUMIF(A88:A95,"&gt;0",H88:H95)</f>
        <v>0</v>
      </c>
      <c r="I97" s="184"/>
      <c r="J97" s="184">
        <f>SUM(J88:J95)</f>
        <v>0</v>
      </c>
      <c r="K97" s="184"/>
      <c r="L97" s="184"/>
      <c r="M97" s="184"/>
      <c r="N97" s="184"/>
      <c r="O97" s="184"/>
      <c r="P97" s="184"/>
      <c r="Q97" s="184"/>
      <c r="R97" s="184"/>
      <c r="S97" s="185"/>
      <c r="T97" s="185">
        <f>SUMIF(AG88:AG95,"перех.",T88:T95)</f>
        <v>0</v>
      </c>
      <c r="U97" s="185"/>
      <c r="V97" s="182"/>
      <c r="W97" s="182"/>
      <c r="X97" s="182"/>
      <c r="Y97" s="185">
        <f>SUMIF(AM88:AM95,"перех.",Y88:Y95)</f>
        <v>0</v>
      </c>
      <c r="Z97" s="185"/>
      <c r="AA97" s="182"/>
      <c r="AB97" s="182"/>
      <c r="AC97" s="182"/>
      <c r="AD97" s="182"/>
      <c r="AE97" s="186"/>
      <c r="AF97" s="186"/>
      <c r="AG97" s="186"/>
      <c r="AH97" s="184">
        <f>COUNT(AI88:AI95)</f>
        <v>0</v>
      </c>
      <c r="AI97" s="184">
        <f>SUM(AI88:AI95)</f>
        <v>0</v>
      </c>
      <c r="AJ97" s="186"/>
      <c r="AK97" s="186"/>
      <c r="AL97" s="186"/>
      <c r="AM97" s="184"/>
      <c r="AN97" s="184"/>
      <c r="AO97" s="182"/>
      <c r="AP97" s="182"/>
      <c r="AQ97" s="182"/>
      <c r="AR97" s="187"/>
      <c r="AS97" s="182"/>
      <c r="AT97" s="182"/>
      <c r="AU97" s="182"/>
      <c r="AV97" s="182"/>
      <c r="AW97" s="182"/>
      <c r="AX97" s="182"/>
      <c r="AY97" s="182"/>
      <c r="AZ97" s="182"/>
      <c r="BA97" s="182"/>
      <c r="BB97" s="182"/>
      <c r="BC97" s="182"/>
      <c r="BD97" s="188">
        <f>SUM(BD88:BD95)</f>
        <v>0</v>
      </c>
      <c r="BE97" s="535"/>
      <c r="BF97" s="535"/>
      <c r="BG97" s="476"/>
      <c r="BH97" s="476"/>
      <c r="BI97" s="476"/>
      <c r="BJ97" s="476"/>
      <c r="BK97" s="476"/>
      <c r="BL97" s="476"/>
      <c r="BM97" s="476"/>
      <c r="BN97" s="476"/>
      <c r="BO97" s="476"/>
      <c r="BP97" s="200"/>
      <c r="BQ97" s="689"/>
      <c r="BR97" s="471"/>
      <c r="BS97" s="690">
        <f>BS96</f>
        <v>0</v>
      </c>
      <c r="BT97" s="472"/>
      <c r="BU97" s="1930">
        <f>BU96</f>
        <v>0</v>
      </c>
      <c r="BV97" s="1914"/>
      <c r="BW97" s="471"/>
      <c r="BX97" s="691">
        <f>BX96</f>
        <v>0</v>
      </c>
      <c r="BY97" s="473"/>
      <c r="BZ97" s="360"/>
      <c r="CA97" s="196"/>
      <c r="CB97" s="197">
        <f>SUM(CB88:CB95)</f>
        <v>0</v>
      </c>
      <c r="CC97" s="197">
        <f>SUMIF(CC88:CC95,"=0",CD88:CD95)</f>
        <v>0</v>
      </c>
      <c r="CD97" s="198">
        <f>SUMIF(CC88:CC95,"&lt;&gt;0",CD88:CD95)</f>
        <v>0</v>
      </c>
      <c r="CE97" s="477"/>
      <c r="CF97" s="692"/>
      <c r="CG97" s="308"/>
      <c r="CH97" s="237"/>
      <c r="CI97" s="202"/>
      <c r="CK97" s="238"/>
      <c r="CM97" s="238"/>
    </row>
    <row r="98" spans="1:91" ht="12.75" hidden="1" customHeight="1" outlineLevel="1">
      <c r="A98" s="693"/>
      <c r="B98" s="203"/>
      <c r="C98" s="203"/>
      <c r="D98" s="203"/>
      <c r="E98" s="203"/>
      <c r="F98" s="694"/>
      <c r="G98" s="203"/>
      <c r="H98" s="203"/>
      <c r="I98" s="203"/>
      <c r="J98" s="203"/>
      <c r="K98" s="203"/>
      <c r="L98" s="203"/>
      <c r="M98" s="203"/>
      <c r="N98" s="203"/>
      <c r="O98" s="203"/>
      <c r="P98" s="203"/>
      <c r="Q98" s="203"/>
      <c r="R98" s="203"/>
      <c r="S98" s="203"/>
      <c r="T98" s="203"/>
      <c r="U98" s="203"/>
      <c r="V98" s="203"/>
      <c r="W98" s="203"/>
      <c r="X98" s="203"/>
      <c r="Y98" s="203"/>
      <c r="Z98" s="203"/>
      <c r="AA98" s="203"/>
      <c r="AB98" s="203"/>
      <c r="AC98" s="203"/>
      <c r="AD98" s="694"/>
      <c r="AE98" s="695"/>
      <c r="AF98" s="696"/>
      <c r="AG98" s="696"/>
      <c r="AH98" s="697"/>
      <c r="AI98" s="697"/>
      <c r="AJ98" s="698"/>
      <c r="AK98" s="696"/>
      <c r="AL98" s="696"/>
      <c r="AM98" s="697"/>
      <c r="AN98" s="697"/>
      <c r="AO98" s="203"/>
      <c r="AP98" s="203"/>
      <c r="AQ98" s="203"/>
      <c r="AR98" s="203"/>
      <c r="AS98" s="203"/>
      <c r="AT98" s="203"/>
      <c r="AU98" s="203"/>
      <c r="AV98" s="203"/>
      <c r="AW98" s="203"/>
      <c r="AX98" s="203"/>
      <c r="AY98" s="203"/>
      <c r="AZ98" s="203"/>
      <c r="BA98" s="203"/>
      <c r="BB98" s="203"/>
      <c r="BC98" s="203"/>
      <c r="BD98" s="204"/>
      <c r="BE98" s="699"/>
      <c r="BF98" s="700"/>
      <c r="BG98" s="700"/>
      <c r="BH98" s="700"/>
      <c r="BI98" s="700"/>
      <c r="BJ98" s="700"/>
      <c r="BK98" s="700"/>
      <c r="BL98" s="700"/>
      <c r="BM98" s="700"/>
      <c r="BN98" s="700"/>
      <c r="BO98" s="700"/>
      <c r="BP98"/>
      <c r="BQ98"/>
      <c r="BR98" s="130"/>
      <c r="BS98" s="131"/>
      <c r="BT98" s="131"/>
      <c r="BU98" s="99"/>
      <c r="BV98" s="99"/>
      <c r="BW98" s="130"/>
      <c r="BX98" s="131"/>
      <c r="BY98" s="131"/>
      <c r="BZ98" s="52"/>
      <c r="CA98" s="53"/>
      <c r="CB98" s="53"/>
      <c r="CC98" s="53"/>
      <c r="CD98" s="206"/>
      <c r="CE98" s="53"/>
      <c r="CF98" s="53"/>
      <c r="CG98" s="53"/>
      <c r="CH98" s="53"/>
      <c r="CI98" s="701"/>
    </row>
    <row r="99" spans="1:91" ht="30" hidden="1" customHeight="1" outlineLevel="1" collapsed="1">
      <c r="A99" s="2144" t="s">
        <v>104</v>
      </c>
      <c r="B99" s="2144"/>
      <c r="C99" s="2144"/>
      <c r="D99" s="2144"/>
      <c r="E99" s="2144"/>
      <c r="F99" s="2144"/>
      <c r="G99" s="2144"/>
      <c r="H99" s="21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3"/>
      <c r="AE99" s="43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5"/>
      <c r="BE99" s="45"/>
      <c r="BF99" s="46"/>
      <c r="BG99" s="46"/>
      <c r="BH99" s="46"/>
      <c r="BI99" s="46"/>
      <c r="BJ99" s="46"/>
      <c r="BK99" s="46"/>
      <c r="BL99" s="46"/>
      <c r="BM99" s="46"/>
      <c r="BN99" s="46"/>
      <c r="BO99" s="46"/>
      <c r="BP99" s="478"/>
      <c r="BQ99" s="47"/>
      <c r="BR99" s="207"/>
      <c r="BS99" s="208"/>
      <c r="BT99" s="208"/>
      <c r="BU99" s="209"/>
      <c r="BV99" s="209"/>
      <c r="BW99" s="207"/>
      <c r="BX99" s="208"/>
      <c r="BY99" s="209"/>
      <c r="BZ99" s="482"/>
      <c r="CA99" s="478"/>
      <c r="CB99" s="478"/>
      <c r="CC99" s="478"/>
      <c r="CD99" s="47"/>
      <c r="CE99" s="478"/>
      <c r="CF99" s="478"/>
      <c r="CG99" s="478"/>
      <c r="CH99" s="47"/>
      <c r="CI99" s="210"/>
    </row>
    <row r="100" spans="1:91" ht="27.75" hidden="1" customHeight="1" outlineLevel="1">
      <c r="A100" s="310" t="s">
        <v>95</v>
      </c>
      <c r="B100" s="247"/>
      <c r="C100" s="247"/>
      <c r="D100" s="612"/>
      <c r="E100" s="62"/>
      <c r="F100" s="247"/>
      <c r="G100" s="80"/>
      <c r="H100" s="80"/>
      <c r="I100" s="65"/>
      <c r="J100" s="65"/>
      <c r="K100" s="66"/>
      <c r="L100" s="65"/>
      <c r="M100" s="252"/>
      <c r="N100" s="252"/>
      <c r="O100" s="71"/>
      <c r="P100" s="71"/>
      <c r="Q100" s="71"/>
      <c r="R100" s="71"/>
      <c r="S100" s="273"/>
      <c r="T100" s="85"/>
      <c r="U100" s="71"/>
      <c r="V100" s="537"/>
      <c r="W100" s="70"/>
      <c r="X100" s="70"/>
      <c r="Y100" s="64"/>
      <c r="Z100" s="70"/>
      <c r="AA100" s="272"/>
      <c r="AB100" s="70"/>
      <c r="AC100" s="537"/>
      <c r="AD100" s="274" t="s">
        <v>90</v>
      </c>
      <c r="AE100" s="253"/>
      <c r="AF100" s="135"/>
      <c r="AG100" s="135"/>
      <c r="AH100" s="74"/>
      <c r="AI100" s="75"/>
      <c r="AJ100" s="253"/>
      <c r="AK100" s="77"/>
      <c r="AL100" s="77">
        <f>AK100</f>
        <v>0</v>
      </c>
      <c r="AM100" s="74"/>
      <c r="AN100" s="75" t="str">
        <f>IF(Y100="","",AM100*Y100)</f>
        <v/>
      </c>
      <c r="AO100" s="78"/>
      <c r="AP100" s="117"/>
      <c r="AQ100" s="613"/>
      <c r="AR100" s="614"/>
      <c r="AS100" s="119"/>
      <c r="AT100" s="119"/>
      <c r="AU100" s="615"/>
      <c r="AV100" s="120"/>
      <c r="AW100" s="120"/>
      <c r="AX100" s="616"/>
      <c r="AY100" s="83" t="s">
        <v>84</v>
      </c>
      <c r="AZ100" s="311" t="str">
        <f>IF(AO100&lt;1,"-",AP100-Y100)</f>
        <v>-</v>
      </c>
      <c r="BA100" s="63" t="str">
        <f>IF(AZ100="-","-",($B$2-AO100+1)*AZ100)</f>
        <v>-</v>
      </c>
      <c r="BB100" s="63" t="str">
        <f>IF(AZ100="-","-",AZ100-H100)</f>
        <v>-</v>
      </c>
      <c r="BC100" s="63"/>
      <c r="BD100" s="139"/>
      <c r="BE100" s="511"/>
      <c r="BF100" s="617"/>
      <c r="BG100" s="618"/>
      <c r="BH100" s="391"/>
      <c r="BI100" s="450"/>
      <c r="BJ100" s="390"/>
      <c r="BK100" s="619"/>
      <c r="BL100" s="619"/>
      <c r="BM100" s="620"/>
      <c r="BN100" s="450"/>
      <c r="BO100" s="457"/>
      <c r="BP100" s="450"/>
      <c r="BQ100" s="458"/>
      <c r="BR100" s="315"/>
      <c r="BS100" s="214"/>
      <c r="BT100" s="131"/>
      <c r="BU100" s="1923"/>
      <c r="BV100" s="99"/>
      <c r="BW100" s="215">
        <f>IF(AG100="переход",T100,0)</f>
        <v>0</v>
      </c>
      <c r="BX100" s="214">
        <f>AI100</f>
        <v>0</v>
      </c>
      <c r="BY100" s="621"/>
      <c r="BZ100" s="622"/>
      <c r="CA100" s="623"/>
      <c r="CB100" s="624"/>
      <c r="CC100" s="625"/>
      <c r="CD100" s="626"/>
      <c r="CE100" s="627"/>
      <c r="CF100" s="107"/>
      <c r="CG100" s="108"/>
      <c r="CH100" s="109"/>
      <c r="CI100" s="110" t="s">
        <v>103</v>
      </c>
    </row>
    <row r="101" spans="1:91" ht="30" hidden="1" customHeight="1" outlineLevel="1">
      <c r="A101" s="582"/>
      <c r="B101" s="247"/>
      <c r="C101" s="247"/>
      <c r="D101" s="612"/>
      <c r="E101" s="62"/>
      <c r="F101" s="247"/>
      <c r="G101" s="65"/>
      <c r="H101" s="80"/>
      <c r="I101" s="80"/>
      <c r="J101" s="80"/>
      <c r="K101" s="66"/>
      <c r="L101" s="453"/>
      <c r="M101" s="252"/>
      <c r="N101" s="252"/>
      <c r="O101" s="71"/>
      <c r="P101" s="71"/>
      <c r="Q101" s="71"/>
      <c r="R101" s="71"/>
      <c r="S101" s="273"/>
      <c r="T101" s="85"/>
      <c r="U101" s="71"/>
      <c r="V101" s="537"/>
      <c r="W101" s="70"/>
      <c r="X101" s="70"/>
      <c r="Y101" s="64"/>
      <c r="Z101" s="70"/>
      <c r="AA101" s="70"/>
      <c r="AB101" s="70"/>
      <c r="AC101" s="72"/>
      <c r="AD101" s="274" t="s">
        <v>90</v>
      </c>
      <c r="AE101" s="253"/>
      <c r="AF101" s="135"/>
      <c r="AG101" s="135"/>
      <c r="AH101" s="74"/>
      <c r="AI101" s="75"/>
      <c r="AJ101" s="319"/>
      <c r="AK101" s="288"/>
      <c r="AL101" s="288"/>
      <c r="AM101" s="74"/>
      <c r="AN101" s="75"/>
      <c r="AO101" s="78"/>
      <c r="AP101" s="74"/>
      <c r="AQ101" s="256"/>
      <c r="AR101" s="257"/>
      <c r="AS101" s="80"/>
      <c r="AT101" s="247"/>
      <c r="AU101" s="247"/>
      <c r="AV101" s="247"/>
      <c r="AW101" s="317"/>
      <c r="AX101" s="387"/>
      <c r="AY101" s="83" t="s">
        <v>84</v>
      </c>
      <c r="AZ101" s="311" t="str">
        <f>IF(AP101&lt;1,"-",AP101-Y101)</f>
        <v>-</v>
      </c>
      <c r="BA101" s="63" t="str">
        <f>IF(AZ101="-","-",($B$2-AO101+1)*AZ101)</f>
        <v>-</v>
      </c>
      <c r="BB101" s="63" t="str">
        <f>IF(AZ101="-","-",AZ101-H101)</f>
        <v>-</v>
      </c>
      <c r="BC101" s="64"/>
      <c r="BD101" s="457"/>
      <c r="BE101" s="455"/>
      <c r="BF101" s="703"/>
      <c r="BG101" s="90"/>
      <c r="BH101" s="94"/>
      <c r="BI101" s="91"/>
      <c r="BJ101" s="91"/>
      <c r="BK101" s="704"/>
      <c r="BL101" s="704"/>
      <c r="BM101" s="704"/>
      <c r="BN101" s="91"/>
      <c r="BO101" s="94"/>
      <c r="BP101" s="94"/>
      <c r="BQ101" s="95"/>
      <c r="BR101" s="130"/>
      <c r="BS101" s="214"/>
      <c r="BT101" s="131"/>
      <c r="BU101" s="1923"/>
      <c r="BV101" s="99" t="str">
        <f>IF(AO101&lt;1,"",(AO101))</f>
        <v/>
      </c>
      <c r="BW101" s="130"/>
      <c r="BX101" s="131"/>
      <c r="BY101" s="131"/>
      <c r="BZ101" s="101"/>
      <c r="CA101" s="102"/>
      <c r="CB101" s="103"/>
      <c r="CC101" s="104"/>
      <c r="CD101" s="105"/>
      <c r="CE101" s="627"/>
      <c r="CF101" s="107"/>
      <c r="CG101" s="108"/>
      <c r="CH101" s="109"/>
      <c r="CI101" s="110" t="s">
        <v>103</v>
      </c>
    </row>
    <row r="102" spans="1:91" ht="30" hidden="1" customHeight="1" outlineLevel="1">
      <c r="A102" s="582"/>
      <c r="B102" s="247"/>
      <c r="C102" s="247"/>
      <c r="D102" s="612"/>
      <c r="E102" s="62"/>
      <c r="F102" s="247"/>
      <c r="G102" s="65"/>
      <c r="H102" s="80"/>
      <c r="I102" s="80"/>
      <c r="J102" s="80"/>
      <c r="K102" s="66"/>
      <c r="L102" s="453"/>
      <c r="M102" s="252"/>
      <c r="N102" s="252"/>
      <c r="O102" s="71"/>
      <c r="P102" s="71"/>
      <c r="Q102" s="71"/>
      <c r="R102" s="71"/>
      <c r="S102" s="273"/>
      <c r="T102" s="63"/>
      <c r="U102" s="71"/>
      <c r="V102" s="537"/>
      <c r="W102" s="70"/>
      <c r="X102" s="70"/>
      <c r="Y102" s="630"/>
      <c r="Z102" s="631"/>
      <c r="AA102" s="272"/>
      <c r="AB102" s="635"/>
      <c r="AC102" s="72"/>
      <c r="AD102" s="274" t="s">
        <v>90</v>
      </c>
      <c r="AE102" s="253"/>
      <c r="AF102" s="135"/>
      <c r="AG102" s="135"/>
      <c r="AH102" s="74"/>
      <c r="AI102" s="75"/>
      <c r="AJ102" s="76"/>
      <c r="AK102" s="77"/>
      <c r="AL102" s="288"/>
      <c r="AM102" s="74"/>
      <c r="AN102" s="75"/>
      <c r="AO102" s="78"/>
      <c r="AP102" s="74"/>
      <c r="AQ102" s="63"/>
      <c r="AR102" s="257"/>
      <c r="AS102" s="80"/>
      <c r="AT102" s="68"/>
      <c r="AU102" s="68"/>
      <c r="AV102" s="68"/>
      <c r="AW102" s="68"/>
      <c r="AX102" s="258"/>
      <c r="AY102" s="83" t="s">
        <v>84</v>
      </c>
      <c r="AZ102" s="311" t="str">
        <f>IF(AP102&lt;1,"-",AP102-Y102)</f>
        <v>-</v>
      </c>
      <c r="BA102" s="63" t="str">
        <f>IF(AZ102="-","-",($B$2-AO102+1)*AZ102)</f>
        <v>-</v>
      </c>
      <c r="BB102" s="63" t="str">
        <f>IF(AZ102="-","-",AZ102-H102)</f>
        <v>-</v>
      </c>
      <c r="BC102" s="64"/>
      <c r="BD102" s="457"/>
      <c r="BE102" s="705"/>
      <c r="BF102" s="617"/>
      <c r="BG102" s="90"/>
      <c r="BH102" s="457"/>
      <c r="BI102" s="450"/>
      <c r="BJ102" s="450"/>
      <c r="BK102" s="706"/>
      <c r="BL102" s="706"/>
      <c r="BM102" s="706"/>
      <c r="BN102" s="91"/>
      <c r="BO102" s="94"/>
      <c r="BP102" s="91"/>
      <c r="BQ102" s="95"/>
      <c r="BR102" s="130"/>
      <c r="BS102" s="214"/>
      <c r="BT102" s="131"/>
      <c r="BU102" s="1923"/>
      <c r="BV102" s="99" t="str">
        <f>IF(AO102&lt;1,"",(AO102))</f>
        <v/>
      </c>
      <c r="BW102" s="130"/>
      <c r="BX102" s="131"/>
      <c r="BY102" s="131"/>
      <c r="BZ102" s="101"/>
      <c r="CA102" s="102"/>
      <c r="CB102" s="103"/>
      <c r="CC102" s="104"/>
      <c r="CD102" s="105"/>
      <c r="CE102" s="627"/>
      <c r="CF102" s="107"/>
      <c r="CG102" s="108"/>
      <c r="CH102" s="109"/>
      <c r="CI102" s="110" t="s">
        <v>103</v>
      </c>
    </row>
    <row r="103" spans="1:91" ht="30" hidden="1" customHeight="1" outlineLevel="1">
      <c r="A103" s="582"/>
      <c r="B103" s="247"/>
      <c r="C103" s="247"/>
      <c r="D103" s="248"/>
      <c r="E103" s="248"/>
      <c r="F103" s="247"/>
      <c r="G103" s="80"/>
      <c r="H103" s="80"/>
      <c r="I103" s="80"/>
      <c r="J103" s="80"/>
      <c r="K103" s="66"/>
      <c r="L103" s="453"/>
      <c r="M103" s="252"/>
      <c r="N103" s="252"/>
      <c r="O103" s="71"/>
      <c r="P103" s="71"/>
      <c r="Q103" s="71"/>
      <c r="R103" s="71"/>
      <c r="S103" s="273"/>
      <c r="T103" s="85"/>
      <c r="U103" s="71"/>
      <c r="V103" s="537"/>
      <c r="W103" s="70"/>
      <c r="X103" s="70"/>
      <c r="Y103" s="85"/>
      <c r="Z103" s="71"/>
      <c r="AA103" s="537"/>
      <c r="AB103" s="70"/>
      <c r="AC103" s="72"/>
      <c r="AD103" s="134"/>
      <c r="AE103" s="555"/>
      <c r="AF103" s="555"/>
      <c r="AG103" s="555"/>
      <c r="AH103" s="74"/>
      <c r="AI103" s="75"/>
      <c r="AJ103" s="76"/>
      <c r="AK103" s="77"/>
      <c r="AL103" s="77"/>
      <c r="AM103" s="74"/>
      <c r="AN103" s="75"/>
      <c r="AO103" s="78"/>
      <c r="AP103" s="74"/>
      <c r="AQ103" s="256"/>
      <c r="AR103" s="81"/>
      <c r="AS103" s="80"/>
      <c r="AT103" s="80"/>
      <c r="AU103" s="247"/>
      <c r="AV103" s="247"/>
      <c r="AW103" s="68"/>
      <c r="AX103" s="485"/>
      <c r="AY103" s="455"/>
      <c r="AZ103" s="707"/>
      <c r="BA103" s="64"/>
      <c r="BB103" s="64"/>
      <c r="BC103" s="64"/>
      <c r="BD103" s="457"/>
      <c r="BE103" s="511"/>
      <c r="BF103" s="617"/>
      <c r="BG103" s="618"/>
      <c r="BH103" s="457"/>
      <c r="BI103" s="450"/>
      <c r="BJ103" s="450"/>
      <c r="BK103" s="706"/>
      <c r="BL103" s="706"/>
      <c r="BM103" s="706"/>
      <c r="BN103" s="91"/>
      <c r="BO103" s="94"/>
      <c r="BP103" s="91"/>
      <c r="BQ103" s="95"/>
      <c r="BR103" s="130"/>
      <c r="BS103" s="131"/>
      <c r="BT103" s="131"/>
      <c r="BU103" s="99"/>
      <c r="BV103" s="99"/>
      <c r="BW103" s="130"/>
      <c r="BX103" s="131"/>
      <c r="BY103" s="131"/>
      <c r="BZ103" s="101"/>
      <c r="CA103" s="102"/>
      <c r="CB103" s="103"/>
      <c r="CC103" s="104"/>
      <c r="CD103" s="105"/>
      <c r="CE103" s="627"/>
      <c r="CF103" s="107"/>
      <c r="CG103" s="108"/>
      <c r="CH103" s="109"/>
      <c r="CI103" s="110"/>
    </row>
    <row r="104" spans="1:91" ht="30" hidden="1" customHeight="1" outlineLevel="1">
      <c r="A104" s="582"/>
      <c r="B104" s="247"/>
      <c r="C104" s="247"/>
      <c r="D104" s="62"/>
      <c r="E104" s="62"/>
      <c r="F104" s="247"/>
      <c r="G104" s="80"/>
      <c r="H104" s="322"/>
      <c r="I104" s="80"/>
      <c r="J104" s="80"/>
      <c r="K104" s="271"/>
      <c r="L104" s="271"/>
      <c r="M104" s="68"/>
      <c r="N104" s="68"/>
      <c r="O104" s="70"/>
      <c r="P104" s="70"/>
      <c r="Q104" s="70"/>
      <c r="R104" s="70"/>
      <c r="S104" s="249"/>
      <c r="T104" s="250"/>
      <c r="U104" s="70"/>
      <c r="V104" s="70"/>
      <c r="W104" s="70"/>
      <c r="X104" s="70"/>
      <c r="Y104" s="250"/>
      <c r="Z104" s="70"/>
      <c r="AA104" s="70"/>
      <c r="AB104" s="70"/>
      <c r="AC104" s="251"/>
      <c r="AD104" s="274"/>
      <c r="AE104" s="319"/>
      <c r="AF104" s="288"/>
      <c r="AG104" s="288"/>
      <c r="AH104" s="74"/>
      <c r="AI104" s="75"/>
      <c r="AJ104" s="319"/>
      <c r="AK104" s="288"/>
      <c r="AL104" s="77"/>
      <c r="AM104" s="74"/>
      <c r="AN104" s="75"/>
      <c r="AO104" s="78"/>
      <c r="AP104" s="289"/>
      <c r="AQ104" s="256"/>
      <c r="AR104" s="74"/>
      <c r="AS104" s="66"/>
      <c r="AT104" s="247"/>
      <c r="AU104" s="247"/>
      <c r="AV104" s="247"/>
      <c r="AW104" s="247"/>
      <c r="AX104" s="387"/>
      <c r="AY104" s="89"/>
      <c r="AZ104" s="84"/>
      <c r="BA104" s="64"/>
      <c r="BB104" s="64"/>
      <c r="BC104" s="250"/>
      <c r="BD104" s="516"/>
      <c r="BE104" s="511"/>
      <c r="BF104" s="282"/>
      <c r="BG104" s="282"/>
      <c r="BH104" s="282"/>
      <c r="BI104" s="281"/>
      <c r="BJ104" s="281"/>
      <c r="BK104" s="281"/>
      <c r="BL104" s="281"/>
      <c r="BM104" s="281"/>
      <c r="BN104" s="281"/>
      <c r="BO104" s="282"/>
      <c r="BP104" s="263"/>
      <c r="BQ104" s="8"/>
      <c r="BR104" s="130"/>
      <c r="BS104" s="131"/>
      <c r="BT104" s="131"/>
      <c r="BU104" s="99"/>
      <c r="BV104" s="99"/>
      <c r="BW104" s="130"/>
      <c r="BX104" s="131"/>
      <c r="BY104" s="131"/>
      <c r="BZ104" s="101"/>
      <c r="CA104" s="102"/>
      <c r="CB104" s="103"/>
      <c r="CC104" s="104"/>
      <c r="CD104" s="105"/>
      <c r="CE104" s="627"/>
      <c r="CF104" s="107"/>
      <c r="CG104" s="108"/>
      <c r="CH104" s="109"/>
      <c r="CI104" s="110"/>
    </row>
    <row r="105" spans="1:91" ht="30" hidden="1" customHeight="1" outlineLevel="1" collapsed="1">
      <c r="A105" s="148" t="s">
        <v>86</v>
      </c>
      <c r="B105" s="149">
        <f>COUNTIF(A100:A104,$B$1)</f>
        <v>0</v>
      </c>
      <c r="C105" s="150"/>
      <c r="D105" s="151"/>
      <c r="E105" s="151"/>
      <c r="F105" s="151"/>
      <c r="G105" s="152">
        <f>SUMIF(A100:A104,$B$1,G100:G104)</f>
        <v>0</v>
      </c>
      <c r="H105" s="152">
        <f>SUMIF(A100:A104,$B$1,H100:H104)</f>
        <v>0</v>
      </c>
      <c r="I105" s="152">
        <f>SUM(I100:I104)</f>
        <v>0</v>
      </c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2"/>
      <c r="U105" s="152"/>
      <c r="V105" s="151"/>
      <c r="W105" s="151"/>
      <c r="X105" s="151"/>
      <c r="Y105" s="152"/>
      <c r="Z105" s="152"/>
      <c r="AA105" s="151"/>
      <c r="AB105" s="151"/>
      <c r="AC105" s="151"/>
      <c r="AD105" s="151"/>
      <c r="AE105" s="154"/>
      <c r="AF105" s="155"/>
      <c r="AG105" s="156"/>
      <c r="AH105" s="152"/>
      <c r="AI105" s="157"/>
      <c r="AJ105" s="296"/>
      <c r="AK105" s="156"/>
      <c r="AL105" s="156"/>
      <c r="AM105" s="152"/>
      <c r="AN105" s="157"/>
      <c r="AO105" s="297"/>
      <c r="AP105" s="152"/>
      <c r="AQ105" s="152"/>
      <c r="AR105" s="161"/>
      <c r="AS105" s="151"/>
      <c r="AT105" s="151"/>
      <c r="AU105" s="151"/>
      <c r="AV105" s="151"/>
      <c r="AW105" s="151"/>
      <c r="AX105" s="151"/>
      <c r="AY105" s="151"/>
      <c r="AZ105" s="163">
        <f>SUM(AZ100:AZ104)</f>
        <v>0</v>
      </c>
      <c r="BA105" s="163">
        <f>SUM(BA100:BA104)</f>
        <v>0</v>
      </c>
      <c r="BB105" s="163">
        <f>SUM(BB100:BB104)</f>
        <v>0</v>
      </c>
      <c r="BC105" s="221" t="str">
        <f>IF(COUNT(BC100:BC104)=0,"-",AVERAGE(BC100:BC104))</f>
        <v>-</v>
      </c>
      <c r="BD105" s="165"/>
      <c r="BE105" s="340"/>
      <c r="BF105" s="340"/>
      <c r="BG105" s="341"/>
      <c r="BH105" s="341"/>
      <c r="BI105" s="341"/>
      <c r="BJ105" s="341"/>
      <c r="BK105" s="341"/>
      <c r="BL105" s="341"/>
      <c r="BM105" s="341"/>
      <c r="BN105" s="341"/>
      <c r="BO105" s="341"/>
      <c r="BP105" s="163">
        <f>SUM(BP88:BP104)</f>
        <v>0</v>
      </c>
      <c r="BQ105" s="163">
        <f>SUM(BQ88:BQ104)</f>
        <v>0</v>
      </c>
      <c r="BR105" s="708">
        <f>COUNTA(BR88:BR104)</f>
        <v>0</v>
      </c>
      <c r="BS105" s="709">
        <f>SUM(BS100:BS104,BS88:BS95)</f>
        <v>0</v>
      </c>
      <c r="BT105" s="710"/>
      <c r="BU105" s="1931">
        <f>SUM(BU100:BU104,BU88:BU95)</f>
        <v>0</v>
      </c>
      <c r="BV105" s="1915"/>
      <c r="BW105" s="496">
        <f>COUNTA(BW100:BW104)</f>
        <v>1</v>
      </c>
      <c r="BX105" s="462">
        <f>SUM(BX88:BX104)</f>
        <v>0</v>
      </c>
      <c r="BY105" s="463">
        <f>SUM(BY88:BY104)</f>
        <v>0</v>
      </c>
      <c r="BZ105" s="684"/>
      <c r="CA105" s="685"/>
      <c r="CB105" s="173">
        <f>AO105</f>
        <v>0</v>
      </c>
      <c r="CC105" s="173">
        <f>COUNTIF(CC100:CC104,"=0")</f>
        <v>0</v>
      </c>
      <c r="CD105" s="174">
        <f>SUM(COUNTIF(CC100:CC104,"&lt;0"),COUNTIF(CC100:CC104,"&gt;0"))</f>
        <v>0</v>
      </c>
      <c r="CE105" s="225">
        <f>COUNTIF(CE95:CE103,"1")</f>
        <v>0</v>
      </c>
      <c r="CF105" s="226">
        <f>SUM(CF95:CF103)</f>
        <v>0</v>
      </c>
      <c r="CG105" s="227">
        <f>COUNTIF(CG95:CG104,"1")</f>
        <v>0</v>
      </c>
      <c r="CH105" s="228">
        <f>SUM(CH95:CH104)</f>
        <v>0</v>
      </c>
      <c r="CI105" s="178"/>
    </row>
    <row r="106" spans="1:91" ht="30" hidden="1" customHeight="1" outlineLevel="1">
      <c r="A106" s="179" t="s">
        <v>87</v>
      </c>
      <c r="B106" s="348">
        <f>COUNT(A100:A104)</f>
        <v>0</v>
      </c>
      <c r="C106" s="181"/>
      <c r="D106" s="182"/>
      <c r="E106" s="182"/>
      <c r="F106" s="182"/>
      <c r="G106" s="184">
        <f>SUM(G100:G104)</f>
        <v>0</v>
      </c>
      <c r="H106" s="184">
        <f>SUM(H100:H104)</f>
        <v>0</v>
      </c>
      <c r="I106" s="184"/>
      <c r="J106" s="184">
        <f>SUM(J100:J104)</f>
        <v>0</v>
      </c>
      <c r="K106" s="184"/>
      <c r="L106" s="184"/>
      <c r="M106" s="184"/>
      <c r="N106" s="184"/>
      <c r="O106" s="184"/>
      <c r="P106" s="184"/>
      <c r="Q106" s="184"/>
      <c r="R106" s="184"/>
      <c r="S106" s="185"/>
      <c r="T106" s="187"/>
      <c r="U106" s="185"/>
      <c r="V106" s="182"/>
      <c r="W106" s="182"/>
      <c r="X106" s="182"/>
      <c r="Y106" s="187"/>
      <c r="Z106" s="185"/>
      <c r="AA106" s="182"/>
      <c r="AB106" s="182"/>
      <c r="AC106" s="182"/>
      <c r="AD106" s="182"/>
      <c r="AE106" s="186"/>
      <c r="AF106" s="186"/>
      <c r="AG106" s="186"/>
      <c r="AH106" s="184"/>
      <c r="AI106" s="184"/>
      <c r="AJ106" s="186"/>
      <c r="AK106" s="186"/>
      <c r="AL106" s="186"/>
      <c r="AM106" s="184"/>
      <c r="AN106" s="184"/>
      <c r="AO106" s="182"/>
      <c r="AP106" s="184"/>
      <c r="AQ106" s="182"/>
      <c r="AR106" s="187"/>
      <c r="AS106" s="182"/>
      <c r="AT106" s="182"/>
      <c r="AU106" s="182"/>
      <c r="AV106" s="182"/>
      <c r="AW106" s="182"/>
      <c r="AX106" s="182"/>
      <c r="AY106" s="713"/>
      <c r="AZ106" s="188">
        <f>SUM(AZ105,AZ96)</f>
        <v>0</v>
      </c>
      <c r="BA106" s="188">
        <f>SUM(BA105,BA96)</f>
        <v>0</v>
      </c>
      <c r="BB106" s="188">
        <f>SUM(BB105,BB96)</f>
        <v>0</v>
      </c>
      <c r="BC106" s="229" t="str">
        <f>IF(COUNT(BC100:BC104,BC88:BC95)=0,"-",AVERAGE(BC100:BC104,BC88:BC95))</f>
        <v>-</v>
      </c>
      <c r="BD106" s="188">
        <f>+BD97</f>
        <v>0</v>
      </c>
      <c r="BE106" s="535"/>
      <c r="BF106" s="535"/>
      <c r="BG106" s="476"/>
      <c r="BH106" s="476"/>
      <c r="BI106" s="476"/>
      <c r="BJ106" s="476"/>
      <c r="BK106" s="476"/>
      <c r="BL106" s="476"/>
      <c r="BM106" s="476"/>
      <c r="BN106" s="476"/>
      <c r="BO106" s="476"/>
      <c r="BP106" s="308"/>
      <c r="BQ106" s="714"/>
      <c r="BR106" s="353"/>
      <c r="BS106" s="355"/>
      <c r="BT106" s="355"/>
      <c r="BU106" s="1900"/>
      <c r="BV106" s="1603">
        <f>SUMIF(BV88:BV104,"",BU88:BU104)</f>
        <v>0</v>
      </c>
      <c r="BW106" s="471"/>
      <c r="BX106" s="472"/>
      <c r="BY106" s="473"/>
      <c r="BZ106" s="360"/>
      <c r="CA106" s="689"/>
      <c r="CB106" s="197">
        <f>SUM(CB100:CB104)</f>
        <v>0</v>
      </c>
      <c r="CC106" s="197">
        <f>SUMIF(CC100:CC104,"=0",CD100:CD104)</f>
        <v>0</v>
      </c>
      <c r="CD106" s="198">
        <f>SUMIF(CC100:CC104,"&lt;&gt;0",CD100:CD104)</f>
        <v>0</v>
      </c>
      <c r="CE106" s="197"/>
      <c r="CF106" s="197"/>
      <c r="CG106" s="197"/>
      <c r="CH106" s="197"/>
      <c r="CI106" s="202"/>
    </row>
    <row r="107" spans="1:91" ht="29.25" hidden="1" customHeight="1" outlineLevel="1" collapsed="1">
      <c r="A107" s="2144" t="s">
        <v>105</v>
      </c>
      <c r="B107" s="2144"/>
      <c r="C107" s="2144"/>
      <c r="D107" s="2144"/>
      <c r="E107" s="2144"/>
      <c r="F107" s="2144"/>
      <c r="G107" s="21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3"/>
      <c r="AE107" s="43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5"/>
      <c r="BE107" s="45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78"/>
      <c r="BQ107" s="478"/>
      <c r="BR107" s="550"/>
      <c r="BS107" s="551"/>
      <c r="BT107" s="551"/>
      <c r="BU107" s="1901"/>
      <c r="BV107" s="552"/>
      <c r="BW107" s="207"/>
      <c r="BX107" s="208"/>
      <c r="BY107" s="209"/>
      <c r="BZ107" s="52"/>
      <c r="CA107" s="53"/>
      <c r="CB107" s="53"/>
      <c r="CC107" s="53"/>
      <c r="CD107" s="206"/>
      <c r="CE107" s="482"/>
      <c r="CF107" s="478"/>
      <c r="CG107" s="478"/>
      <c r="CH107" s="47"/>
      <c r="CI107" s="482"/>
      <c r="CJ107" s="715"/>
    </row>
    <row r="108" spans="1:91" ht="33" hidden="1" customHeight="1" outlineLevel="1">
      <c r="A108" s="59"/>
      <c r="B108" s="247"/>
      <c r="C108" s="247"/>
      <c r="D108" s="248"/>
      <c r="E108" s="62"/>
      <c r="F108" s="247"/>
      <c r="G108" s="80"/>
      <c r="H108" s="65"/>
      <c r="I108" s="65"/>
      <c r="J108" s="65"/>
      <c r="K108" s="629"/>
      <c r="L108" s="67"/>
      <c r="M108" s="68"/>
      <c r="N108" s="68"/>
      <c r="O108" s="372"/>
      <c r="P108" s="70"/>
      <c r="Q108" s="70"/>
      <c r="R108" s="71"/>
      <c r="S108" s="629"/>
      <c r="T108" s="64"/>
      <c r="U108" s="71"/>
      <c r="V108" s="71"/>
      <c r="W108" s="71"/>
      <c r="X108" s="71"/>
      <c r="Y108" s="63"/>
      <c r="Z108" s="71"/>
      <c r="AA108" s="85"/>
      <c r="AB108" s="71"/>
      <c r="AC108" s="72"/>
      <c r="AD108" s="274"/>
      <c r="AE108" s="319"/>
      <c r="AF108" s="135"/>
      <c r="AG108" s="135"/>
      <c r="AH108" s="74"/>
      <c r="AI108" s="75"/>
      <c r="AJ108" s="319"/>
      <c r="AK108" s="77"/>
      <c r="AL108" s="77"/>
      <c r="AM108" s="74"/>
      <c r="AN108" s="75"/>
      <c r="AO108" s="78"/>
      <c r="AP108" s="74"/>
      <c r="AQ108" s="63"/>
      <c r="AR108" s="79"/>
      <c r="AS108" s="112"/>
      <c r="AT108" s="68"/>
      <c r="AU108" s="68"/>
      <c r="AV108" s="68"/>
      <c r="AW108" s="68"/>
      <c r="AX108" s="258"/>
      <c r="AY108" s="83" t="s">
        <v>84</v>
      </c>
      <c r="AZ108" s="311" t="str">
        <f>IF(AP108&lt;1,"-",AP108-Y108)</f>
        <v>-</v>
      </c>
      <c r="BA108" s="64" t="str">
        <f>IF(AZ108="-","-",($B$2-AO108+1)*AZ108)</f>
        <v>-</v>
      </c>
      <c r="BB108" s="64" t="str">
        <f>IF(AZ108="-","-",AZ108-H108)</f>
        <v>-</v>
      </c>
      <c r="BC108" s="312" t="str">
        <f>IF(AZ108="-","-",AZ108/(G108))</f>
        <v>-</v>
      </c>
      <c r="BD108" s="139">
        <f>IF(AP108&lt;1,IF($B$2&gt;=A108,($A$2-A108+1)*-1*H108,"-"),AZ108*($A$2-AO108+1)-H108*($A$2-A108+1))</f>
        <v>0</v>
      </c>
      <c r="BE108" s="455"/>
      <c r="BF108" s="716"/>
      <c r="BG108" s="90"/>
      <c r="BH108" s="717"/>
      <c r="BI108" s="717"/>
      <c r="BJ108" s="717"/>
      <c r="BK108" s="717"/>
      <c r="BL108" s="717"/>
      <c r="BM108" s="717"/>
      <c r="BN108" s="91" t="str">
        <f>IF(BH108=0,"-",BH108-AP108)</f>
        <v>-</v>
      </c>
      <c r="BO108" s="91" t="str">
        <f>IF(BI108=0,"-",BI108-AQ108)</f>
        <v>-</v>
      </c>
      <c r="BP108" s="94" t="str">
        <f>IF(BN108="-","-",AZ108+BN108)</f>
        <v>-</v>
      </c>
      <c r="BQ108" s="95" t="str">
        <f>IF(BN108="-","-",(($B$2-AO108+1)*(AZ108+BN108)))</f>
        <v>-</v>
      </c>
      <c r="BR108" s="315"/>
      <c r="BS108" s="214"/>
      <c r="BT108" s="131"/>
      <c r="BU108" s="1923"/>
      <c r="BV108" s="99"/>
      <c r="BW108" s="215"/>
      <c r="BX108" s="214"/>
      <c r="BY108" s="621"/>
      <c r="BZ108" s="101"/>
      <c r="CA108" s="102"/>
      <c r="CB108" s="103"/>
      <c r="CC108" s="104"/>
      <c r="CD108" s="105"/>
      <c r="CE108" s="718"/>
      <c r="CF108" s="719"/>
      <c r="CG108" s="719"/>
      <c r="CH108" s="720"/>
      <c r="CI108" s="721" t="s">
        <v>105</v>
      </c>
      <c r="CJ108" s="715"/>
    </row>
    <row r="109" spans="1:91" ht="12.75" hidden="1" customHeight="1" outlineLevel="1">
      <c r="A109" s="59"/>
      <c r="B109" s="247"/>
      <c r="C109" s="247"/>
      <c r="D109" s="248"/>
      <c r="E109" s="248"/>
      <c r="F109" s="247"/>
      <c r="G109" s="64">
        <f>M109</f>
        <v>0</v>
      </c>
      <c r="H109" s="65">
        <f>M109-T109</f>
        <v>0</v>
      </c>
      <c r="I109" s="65">
        <f>IF($B$2&gt;=A109,($B$2-A109+1)*H109,"-")</f>
        <v>0</v>
      </c>
      <c r="J109" s="65">
        <f>($A$2-A109+1)*H109</f>
        <v>0</v>
      </c>
      <c r="K109" s="271"/>
      <c r="L109" s="67">
        <f ca="1">IF((AE109)&lt;$L$2-DAY($L$2)+1,H109,H109+T109)</f>
        <v>0</v>
      </c>
      <c r="M109" s="252"/>
      <c r="N109" s="252"/>
      <c r="O109" s="287"/>
      <c r="P109" s="71"/>
      <c r="Q109" s="71"/>
      <c r="R109" s="71"/>
      <c r="S109" s="273"/>
      <c r="T109" s="63"/>
      <c r="U109" s="71"/>
      <c r="V109" s="71"/>
      <c r="W109" s="71"/>
      <c r="X109" s="71"/>
      <c r="Y109" s="63"/>
      <c r="Z109" s="71"/>
      <c r="AA109" s="71"/>
      <c r="AB109" s="71"/>
      <c r="AC109" s="72"/>
      <c r="AD109" s="274" t="s">
        <v>107</v>
      </c>
      <c r="AE109" s="319"/>
      <c r="AF109" s="135"/>
      <c r="AG109" s="135"/>
      <c r="AH109" s="74"/>
      <c r="AI109" s="75"/>
      <c r="AJ109" s="319"/>
      <c r="AK109" s="77"/>
      <c r="AL109" s="77"/>
      <c r="AM109" s="74"/>
      <c r="AN109" s="75"/>
      <c r="AO109" s="78"/>
      <c r="AP109" s="74"/>
      <c r="AQ109" s="256"/>
      <c r="AR109" s="257"/>
      <c r="AS109" s="66"/>
      <c r="AT109" s="247"/>
      <c r="AU109" s="247"/>
      <c r="AV109" s="247"/>
      <c r="AW109" s="247"/>
      <c r="AX109" s="258"/>
      <c r="AY109" s="83" t="s">
        <v>84</v>
      </c>
      <c r="AZ109" s="311" t="str">
        <f>IF(AP109&lt;1,"-",AP109-Y109)</f>
        <v>-</v>
      </c>
      <c r="BA109" s="64" t="str">
        <f>IF(AZ109="-","-",($B$2-AO109+1)*AZ109)</f>
        <v>-</v>
      </c>
      <c r="BB109" s="64" t="str">
        <f>IF(AZ109="-","-",AZ109-H109)</f>
        <v>-</v>
      </c>
      <c r="BC109" s="312" t="str">
        <f>IF(AZ109="-","-",AZ109/(G109*0.9))</f>
        <v>-</v>
      </c>
      <c r="BD109" s="139">
        <f>IF(AP109&lt;1,IF($B$2&gt;=A109,($A$2-A109+1)*-1*H109,"-"),AZ109*($A$2-AO109+1)-H109*($A$2-A109+1))</f>
        <v>0</v>
      </c>
      <c r="BE109" s="455"/>
      <c r="BF109" s="716"/>
      <c r="BG109" s="90"/>
      <c r="BH109" s="717"/>
      <c r="BI109" s="717"/>
      <c r="BJ109" s="717"/>
      <c r="BK109" s="717"/>
      <c r="BL109" s="717"/>
      <c r="BM109" s="717"/>
      <c r="BN109" s="717"/>
      <c r="BO109" s="717"/>
      <c r="BP109" s="94"/>
      <c r="BQ109" s="95"/>
      <c r="BR109" s="536"/>
      <c r="BS109" s="214"/>
      <c r="BT109" s="131"/>
      <c r="BU109" s="1923"/>
      <c r="BV109" s="99"/>
      <c r="BW109" s="215"/>
      <c r="BX109" s="214"/>
      <c r="BY109" s="131"/>
      <c r="BZ109" s="101"/>
      <c r="CA109" s="102"/>
      <c r="CB109" s="103"/>
      <c r="CC109" s="104"/>
      <c r="CD109" s="105"/>
      <c r="CE109" s="627"/>
      <c r="CF109" s="107"/>
      <c r="CG109" s="108"/>
      <c r="CH109" s="109"/>
      <c r="CI109" s="721"/>
      <c r="CJ109" s="715"/>
    </row>
    <row r="110" spans="1:91" ht="12.75" hidden="1" customHeight="1" outlineLevel="1">
      <c r="A110" s="722"/>
      <c r="B110" s="270"/>
      <c r="C110" s="270"/>
      <c r="D110" s="62"/>
      <c r="E110" s="62"/>
      <c r="F110" s="270"/>
      <c r="G110" s="80"/>
      <c r="H110" s="80"/>
      <c r="I110" s="65"/>
      <c r="J110" s="65"/>
      <c r="K110" s="723"/>
      <c r="L110" s="67"/>
      <c r="M110" s="252"/>
      <c r="N110" s="252"/>
      <c r="O110" s="71"/>
      <c r="P110" s="71"/>
      <c r="Q110" s="71"/>
      <c r="R110" s="71"/>
      <c r="S110" s="273"/>
      <c r="T110" s="85"/>
      <c r="U110" s="71"/>
      <c r="V110" s="71"/>
      <c r="W110" s="71"/>
      <c r="X110" s="71"/>
      <c r="Y110" s="85"/>
      <c r="Z110" s="71"/>
      <c r="AA110" s="71"/>
      <c r="AB110" s="71"/>
      <c r="AC110" s="72"/>
      <c r="AD110" s="274"/>
      <c r="AE110" s="724"/>
      <c r="AF110" s="288"/>
      <c r="AG110" s="77"/>
      <c r="AH110" s="74"/>
      <c r="AI110" s="75"/>
      <c r="AJ110" s="319"/>
      <c r="AK110" s="77"/>
      <c r="AL110" s="77"/>
      <c r="AM110" s="74"/>
      <c r="AN110" s="75"/>
      <c r="AO110" s="78"/>
      <c r="AP110" s="289"/>
      <c r="AQ110" s="256"/>
      <c r="AR110" s="289"/>
      <c r="AS110" s="66"/>
      <c r="AT110" s="247"/>
      <c r="AU110" s="247"/>
      <c r="AV110" s="247"/>
      <c r="AW110" s="247"/>
      <c r="AX110" s="387"/>
      <c r="AY110" s="564"/>
      <c r="AZ110" s="84"/>
      <c r="BA110" s="64"/>
      <c r="BB110" s="64"/>
      <c r="BC110" s="64"/>
      <c r="BD110" s="516"/>
      <c r="BE110" s="725"/>
      <c r="BF110" s="716"/>
      <c r="BG110" s="717"/>
      <c r="BH110" s="717"/>
      <c r="BI110" s="717"/>
      <c r="BJ110" s="717"/>
      <c r="BK110" s="717"/>
      <c r="BL110" s="717"/>
      <c r="BM110" s="717"/>
      <c r="BN110" s="717"/>
      <c r="BO110" s="717"/>
      <c r="BP110" s="94"/>
      <c r="BQ110" s="95"/>
      <c r="BR110" s="130"/>
      <c r="BS110" s="131"/>
      <c r="BT110" s="131"/>
      <c r="BU110" s="1922"/>
      <c r="BV110" s="131"/>
      <c r="BW110" s="130"/>
      <c r="BX110" s="131"/>
      <c r="BY110" s="131"/>
      <c r="BZ110" s="101"/>
      <c r="CA110" s="102"/>
      <c r="CB110" s="103"/>
      <c r="CC110" s="104"/>
      <c r="CD110" s="105"/>
      <c r="CE110" s="627"/>
      <c r="CF110" s="107"/>
      <c r="CG110" s="108"/>
      <c r="CH110" s="726"/>
      <c r="CI110" s="721"/>
      <c r="CJ110" s="715"/>
    </row>
    <row r="111" spans="1:91" ht="12.75" hidden="1" customHeight="1" outlineLevel="1">
      <c r="A111" s="722"/>
      <c r="B111" s="727"/>
      <c r="C111" s="270"/>
      <c r="D111" s="62"/>
      <c r="E111" s="62"/>
      <c r="F111" s="270"/>
      <c r="G111" s="80"/>
      <c r="H111" s="80"/>
      <c r="I111" s="65"/>
      <c r="J111" s="65"/>
      <c r="K111" s="723"/>
      <c r="L111" s="67"/>
      <c r="M111" s="252"/>
      <c r="N111" s="252"/>
      <c r="O111" s="71"/>
      <c r="P111" s="71"/>
      <c r="Q111" s="71"/>
      <c r="R111" s="71"/>
      <c r="S111" s="273"/>
      <c r="T111" s="85"/>
      <c r="U111" s="71"/>
      <c r="V111" s="71"/>
      <c r="W111" s="71"/>
      <c r="X111" s="71"/>
      <c r="Y111" s="85"/>
      <c r="Z111" s="71"/>
      <c r="AA111" s="71"/>
      <c r="AB111" s="71"/>
      <c r="AC111" s="72"/>
      <c r="AD111" s="274"/>
      <c r="AE111" s="319"/>
      <c r="AF111" s="288"/>
      <c r="AG111" s="77"/>
      <c r="AH111" s="74"/>
      <c r="AI111" s="75"/>
      <c r="AJ111" s="319"/>
      <c r="AK111" s="77"/>
      <c r="AL111" s="77"/>
      <c r="AM111" s="74"/>
      <c r="AN111" s="75"/>
      <c r="AO111" s="78"/>
      <c r="AP111" s="289"/>
      <c r="AQ111" s="256"/>
      <c r="AR111" s="289"/>
      <c r="AS111" s="66"/>
      <c r="AT111" s="247"/>
      <c r="AU111" s="247"/>
      <c r="AV111" s="247"/>
      <c r="AW111" s="247"/>
      <c r="AX111" s="387"/>
      <c r="AY111" s="564"/>
      <c r="AZ111" s="84"/>
      <c r="BA111" s="64"/>
      <c r="BB111" s="64"/>
      <c r="BC111" s="64"/>
      <c r="BD111" s="516"/>
      <c r="BE111" s="725"/>
      <c r="BF111" s="716"/>
      <c r="BG111" s="717"/>
      <c r="BH111" s="717"/>
      <c r="BI111" s="717"/>
      <c r="BJ111" s="717"/>
      <c r="BK111" s="717"/>
      <c r="BL111" s="717"/>
      <c r="BM111" s="717"/>
      <c r="BN111" s="717"/>
      <c r="BO111" s="717"/>
      <c r="BP111" s="94"/>
      <c r="BQ111" s="95"/>
      <c r="BR111" s="130"/>
      <c r="BS111" s="131"/>
      <c r="BT111" s="131"/>
      <c r="BU111" s="1922"/>
      <c r="BV111" s="131"/>
      <c r="BW111" s="130"/>
      <c r="BX111" s="131"/>
      <c r="BY111" s="131"/>
      <c r="BZ111" s="101"/>
      <c r="CA111" s="102"/>
      <c r="CB111" s="103"/>
      <c r="CC111" s="104"/>
      <c r="CD111" s="105"/>
      <c r="CE111" s="627"/>
      <c r="CF111" s="107"/>
      <c r="CG111" s="108"/>
      <c r="CH111" s="726"/>
      <c r="CI111" s="721"/>
      <c r="CJ111" s="715"/>
    </row>
    <row r="112" spans="1:91" ht="12.75" hidden="1" customHeight="1" outlineLevel="1">
      <c r="A112" s="722"/>
      <c r="B112" s="270"/>
      <c r="C112" s="270"/>
      <c r="D112" s="62"/>
      <c r="E112" s="62"/>
      <c r="F112" s="270"/>
      <c r="G112" s="728"/>
      <c r="H112" s="80"/>
      <c r="I112" s="65"/>
      <c r="J112" s="65"/>
      <c r="K112" s="270"/>
      <c r="L112" s="67"/>
      <c r="M112" s="252"/>
      <c r="N112" s="252"/>
      <c r="O112" s="71"/>
      <c r="P112" s="71"/>
      <c r="Q112" s="71"/>
      <c r="R112" s="71"/>
      <c r="S112" s="71"/>
      <c r="T112" s="85"/>
      <c r="U112" s="71"/>
      <c r="V112" s="71"/>
      <c r="W112" s="71"/>
      <c r="X112" s="71"/>
      <c r="Y112" s="85"/>
      <c r="Z112" s="71"/>
      <c r="AA112" s="71"/>
      <c r="AB112" s="71"/>
      <c r="AC112" s="72"/>
      <c r="AD112" s="274"/>
      <c r="AE112" s="319"/>
      <c r="AF112" s="288"/>
      <c r="AG112" s="77"/>
      <c r="AH112" s="74"/>
      <c r="AI112" s="75"/>
      <c r="AJ112" s="319"/>
      <c r="AK112" s="77"/>
      <c r="AL112" s="77"/>
      <c r="AM112" s="74"/>
      <c r="AN112" s="75"/>
      <c r="AO112" s="78"/>
      <c r="AP112" s="289"/>
      <c r="AQ112" s="256"/>
      <c r="AR112" s="289"/>
      <c r="AS112" s="66"/>
      <c r="AT112" s="247"/>
      <c r="AU112" s="247"/>
      <c r="AV112" s="247"/>
      <c r="AW112" s="247"/>
      <c r="AX112" s="387"/>
      <c r="AY112" s="564"/>
      <c r="AZ112" s="84"/>
      <c r="BA112" s="64"/>
      <c r="BB112" s="64"/>
      <c r="BC112" s="64"/>
      <c r="BD112" s="516"/>
      <c r="BE112" s="725"/>
      <c r="BF112" s="291"/>
      <c r="BG112" s="729"/>
      <c r="BH112" s="729"/>
      <c r="BI112" s="729"/>
      <c r="BJ112" s="729"/>
      <c r="BK112" s="729"/>
      <c r="BL112" s="729"/>
      <c r="BM112" s="729"/>
      <c r="BN112" s="729"/>
      <c r="BO112" s="729"/>
      <c r="BP112" s="146"/>
      <c r="BQ112" s="147"/>
      <c r="BR112" s="130"/>
      <c r="BS112" s="131"/>
      <c r="BT112" s="131"/>
      <c r="BU112" s="1922"/>
      <c r="BV112" s="131"/>
      <c r="BW112" s="130"/>
      <c r="BX112" s="131"/>
      <c r="BY112" s="131"/>
      <c r="BZ112" s="101"/>
      <c r="CA112" s="102"/>
      <c r="CB112" s="103"/>
      <c r="CC112" s="104"/>
      <c r="CD112" s="105"/>
      <c r="CE112" s="627"/>
      <c r="CF112" s="107"/>
      <c r="CG112" s="108"/>
      <c r="CH112" s="726"/>
      <c r="CI112" s="721"/>
      <c r="CJ112" s="715"/>
    </row>
    <row r="113" spans="1:89" ht="33" hidden="1" customHeight="1" outlineLevel="2" collapsed="1">
      <c r="A113" s="148" t="s">
        <v>86</v>
      </c>
      <c r="B113" s="149">
        <f>COUNTIF(A108:A112,$B$1)</f>
        <v>0</v>
      </c>
      <c r="C113" s="150"/>
      <c r="D113" s="151"/>
      <c r="E113" s="151"/>
      <c r="F113" s="151"/>
      <c r="G113" s="152"/>
      <c r="H113" s="152">
        <f>SUMIF(A108:A112,$B$1,H108:H112)</f>
        <v>0</v>
      </c>
      <c r="I113" s="152">
        <f>SUM(I108:I112)</f>
        <v>0</v>
      </c>
      <c r="J113" s="152"/>
      <c r="K113" s="152"/>
      <c r="L113" s="153">
        <f>SUMIF(A108:A112,$B$1,L108:L112)</f>
        <v>0</v>
      </c>
      <c r="M113" s="152"/>
      <c r="N113" s="152"/>
      <c r="O113" s="152"/>
      <c r="P113" s="152"/>
      <c r="Q113" s="152"/>
      <c r="R113" s="152"/>
      <c r="S113" s="152"/>
      <c r="T113" s="152"/>
      <c r="U113" s="152"/>
      <c r="V113" s="151"/>
      <c r="W113" s="151"/>
      <c r="X113" s="151"/>
      <c r="Y113" s="152"/>
      <c r="Z113" s="152"/>
      <c r="AA113" s="151"/>
      <c r="AB113" s="151"/>
      <c r="AC113" s="151"/>
      <c r="AD113" s="151"/>
      <c r="AE113" s="154"/>
      <c r="AF113" s="155"/>
      <c r="AG113" s="156"/>
      <c r="AH113" s="152"/>
      <c r="AI113" s="157"/>
      <c r="AJ113" s="730"/>
      <c r="AK113" s="156"/>
      <c r="AL113" s="156"/>
      <c r="AM113" s="152"/>
      <c r="AN113" s="157"/>
      <c r="AO113" s="297">
        <f>COUNTA(AO108:AO112)</f>
        <v>0</v>
      </c>
      <c r="AP113" s="152"/>
      <c r="AQ113" s="152"/>
      <c r="AR113" s="161"/>
      <c r="AS113" s="151"/>
      <c r="AT113" s="151"/>
      <c r="AU113" s="151"/>
      <c r="AV113" s="151"/>
      <c r="AW113" s="151"/>
      <c r="AX113" s="151"/>
      <c r="AY113" s="151"/>
      <c r="AZ113" s="163">
        <f>SUM(AZ108:AZ112)</f>
        <v>0</v>
      </c>
      <c r="BA113" s="163">
        <f>SUM(BA108:BA112)</f>
        <v>0</v>
      </c>
      <c r="BB113" s="163">
        <f>SUM(BB108:BB112)</f>
        <v>0</v>
      </c>
      <c r="BC113" s="221" t="str">
        <f>IF(COUNT(BC108:BC112)=0,"-",AVERAGE(BC108:BC112))</f>
        <v>-</v>
      </c>
      <c r="BD113" s="165"/>
      <c r="BE113" s="340"/>
      <c r="BF113" s="340"/>
      <c r="BG113" s="341"/>
      <c r="BH113" s="341"/>
      <c r="BI113" s="341"/>
      <c r="BJ113" s="341"/>
      <c r="BK113" s="341"/>
      <c r="BL113" s="341"/>
      <c r="BM113" s="341"/>
      <c r="BN113" s="341"/>
      <c r="BO113" s="341"/>
      <c r="BP113" s="176"/>
      <c r="BQ113" s="177"/>
      <c r="BR113" s="168"/>
      <c r="BS113" s="169"/>
      <c r="BT113" s="169"/>
      <c r="BU113" s="170"/>
      <c r="BV113" s="170"/>
      <c r="BW113" s="571"/>
      <c r="BX113" s="573"/>
      <c r="BY113" s="575"/>
      <c r="BZ113" s="171"/>
      <c r="CA113" s="683"/>
      <c r="CB113" s="173">
        <f>AO113</f>
        <v>0</v>
      </c>
      <c r="CC113" s="173">
        <f>COUNTIF(CC108:CC112,"=0")</f>
        <v>0</v>
      </c>
      <c r="CD113" s="174">
        <f>SUM(COUNTIF(CC108:CC112,"&lt;0"),COUNTIF(CC108:CC112,"&gt;0"))</f>
        <v>0</v>
      </c>
      <c r="CE113" s="686"/>
      <c r="CF113" s="172"/>
      <c r="CG113" s="301"/>
      <c r="CH113" s="683"/>
      <c r="CI113" s="731"/>
      <c r="CJ113" s="715"/>
    </row>
    <row r="114" spans="1:89" ht="33" hidden="1" customHeight="1" outlineLevel="2">
      <c r="A114" s="179" t="s">
        <v>87</v>
      </c>
      <c r="B114" s="348">
        <f>COUNT(A108:A112)</f>
        <v>0</v>
      </c>
      <c r="C114" s="181"/>
      <c r="D114" s="182"/>
      <c r="E114" s="182"/>
      <c r="F114" s="182"/>
      <c r="G114" s="184"/>
      <c r="H114" s="184">
        <f>SUMIF(A108:A112,"&gt;0",H108:H112)</f>
        <v>0</v>
      </c>
      <c r="I114" s="184"/>
      <c r="J114" s="184">
        <f>SUM(J108:J112)</f>
        <v>0</v>
      </c>
      <c r="K114" s="184"/>
      <c r="L114" s="184"/>
      <c r="M114" s="184"/>
      <c r="N114" s="184"/>
      <c r="O114" s="184"/>
      <c r="P114" s="184"/>
      <c r="Q114" s="184"/>
      <c r="R114" s="184"/>
      <c r="S114" s="185"/>
      <c r="T114" s="185">
        <f>SUMIF(AI108:AI112,"&gt;0",T108:T112)-SUMIF(AH108:AH112,"&gt;0",T108:T112)</f>
        <v>0</v>
      </c>
      <c r="U114" s="185"/>
      <c r="V114" s="182"/>
      <c r="W114" s="182"/>
      <c r="X114" s="182"/>
      <c r="Y114" s="185">
        <f>SUMIF(AM108:AM112,"перех.",Y108:Y112)</f>
        <v>0</v>
      </c>
      <c r="Z114" s="185"/>
      <c r="AA114" s="182"/>
      <c r="AB114" s="182"/>
      <c r="AC114" s="182"/>
      <c r="AD114" s="182"/>
      <c r="AE114" s="186"/>
      <c r="AF114" s="186"/>
      <c r="AG114" s="186"/>
      <c r="AH114" s="184">
        <f>COUNT(AI108:AI112)</f>
        <v>0</v>
      </c>
      <c r="AI114" s="184">
        <f>SUM(AI108:AI112)</f>
        <v>0</v>
      </c>
      <c r="AJ114" s="186"/>
      <c r="AK114" s="186"/>
      <c r="AL114" s="186"/>
      <c r="AM114" s="184"/>
      <c r="AN114" s="184"/>
      <c r="AO114" s="182"/>
      <c r="AP114" s="182"/>
      <c r="AQ114" s="182"/>
      <c r="AR114" s="187"/>
      <c r="AS114" s="182"/>
      <c r="AT114" s="182"/>
      <c r="AU114" s="182"/>
      <c r="AV114" s="182"/>
      <c r="AW114" s="182"/>
      <c r="AX114" s="182"/>
      <c r="AY114" s="182"/>
      <c r="AZ114" s="190"/>
      <c r="BA114" s="190"/>
      <c r="BB114" s="190"/>
      <c r="BC114" s="304"/>
      <c r="BD114" s="188">
        <f>SUM(BD108:BD112)</f>
        <v>0</v>
      </c>
      <c r="BE114" s="535"/>
      <c r="BF114" s="535"/>
      <c r="BG114" s="476"/>
      <c r="BH114" s="476"/>
      <c r="BI114" s="476"/>
      <c r="BJ114" s="476"/>
      <c r="BK114" s="476"/>
      <c r="BL114" s="476"/>
      <c r="BM114" s="476"/>
      <c r="BN114" s="476"/>
      <c r="BO114" s="476"/>
      <c r="BP114" s="200"/>
      <c r="BQ114" s="689"/>
      <c r="BR114" s="192"/>
      <c r="BS114" s="193"/>
      <c r="BT114" s="193"/>
      <c r="BU114" s="194"/>
      <c r="BV114" s="194"/>
      <c r="BW114" s="192"/>
      <c r="BX114" s="193"/>
      <c r="BY114" s="193"/>
      <c r="BZ114" s="360"/>
      <c r="CA114" s="689"/>
      <c r="CB114" s="732">
        <f>SUM(CB108:CB112)</f>
        <v>0</v>
      </c>
      <c r="CC114" s="732">
        <f>SUMIF(CC108:CC112,"=0",CD108:CD112)</f>
        <v>0</v>
      </c>
      <c r="CD114" s="733">
        <f>SUMIF(CC108:CC112,"&lt;&gt;0",CD108:CD112)</f>
        <v>0</v>
      </c>
      <c r="CE114" s="477"/>
      <c r="CF114" s="308"/>
      <c r="CG114" s="308"/>
      <c r="CH114" s="201"/>
      <c r="CI114" s="734"/>
      <c r="CJ114" s="715"/>
    </row>
    <row r="115" spans="1:89" ht="12.75" hidden="1" customHeight="1" outlineLevel="1">
      <c r="A115" s="693"/>
      <c r="B115" s="203"/>
      <c r="C115" s="203"/>
      <c r="D115" s="203"/>
      <c r="E115" s="203"/>
      <c r="F115" s="694"/>
      <c r="G115" s="203"/>
      <c r="H115" s="203"/>
      <c r="I115" s="203"/>
      <c r="J115" s="203"/>
      <c r="K115" s="203"/>
      <c r="L115" s="203"/>
      <c r="M115" s="203"/>
      <c r="N115" s="203"/>
      <c r="O115" s="203"/>
      <c r="P115" s="203"/>
      <c r="Q115" s="203"/>
      <c r="R115" s="203"/>
      <c r="S115" s="203"/>
      <c r="T115" s="203"/>
      <c r="U115" s="203"/>
      <c r="V115" s="203"/>
      <c r="W115" s="203"/>
      <c r="X115" s="203"/>
      <c r="Y115" s="203"/>
      <c r="Z115" s="203"/>
      <c r="AA115" s="203"/>
      <c r="AB115" s="203"/>
      <c r="AC115" s="203"/>
      <c r="AD115" s="694"/>
      <c r="AE115" s="695"/>
      <c r="AF115" s="696"/>
      <c r="AG115" s="696"/>
      <c r="AH115" s="697"/>
      <c r="AI115" s="697"/>
      <c r="AJ115" s="698"/>
      <c r="AK115" s="696"/>
      <c r="AL115" s="696"/>
      <c r="AM115" s="697"/>
      <c r="AN115" s="697"/>
      <c r="AO115" s="203"/>
      <c r="AP115" s="203"/>
      <c r="AQ115" s="203"/>
      <c r="AR115" s="203"/>
      <c r="AS115" s="203"/>
      <c r="AT115" s="203"/>
      <c r="AU115" s="203"/>
      <c r="AV115" s="203"/>
      <c r="AW115" s="203"/>
      <c r="AX115" s="203"/>
      <c r="AY115" s="203"/>
      <c r="AZ115" s="203"/>
      <c r="BA115" s="203"/>
      <c r="BB115" s="203"/>
      <c r="BC115" s="203"/>
      <c r="BD115" s="204"/>
      <c r="BE115" s="699"/>
      <c r="BF115" s="700"/>
      <c r="BG115" s="700"/>
      <c r="BH115" s="700"/>
      <c r="BI115" s="700"/>
      <c r="BJ115" s="700"/>
      <c r="BK115" s="700"/>
      <c r="BL115" s="700"/>
      <c r="BM115" s="700"/>
      <c r="BN115" s="700"/>
      <c r="BO115" s="700"/>
      <c r="BP115"/>
      <c r="BQ115"/>
      <c r="BR115" s="130"/>
      <c r="BS115" s="131"/>
      <c r="BT115" s="131"/>
      <c r="BU115" s="99"/>
      <c r="BV115" s="99"/>
      <c r="BW115" s="130"/>
      <c r="BX115" s="131"/>
      <c r="BY115" s="131"/>
      <c r="BZ115" s="52"/>
      <c r="CA115" s="53"/>
      <c r="CB115" s="53"/>
      <c r="CC115" s="53"/>
      <c r="CD115" s="206"/>
      <c r="CE115" s="53"/>
      <c r="CF115" s="53"/>
      <c r="CG115" s="53"/>
      <c r="CH115" s="53"/>
      <c r="CI115" s="735"/>
      <c r="CJ115" s="715"/>
    </row>
    <row r="116" spans="1:89" ht="23.25" hidden="1" outlineLevel="1">
      <c r="A116" s="2144" t="s">
        <v>108</v>
      </c>
      <c r="B116" s="2144"/>
      <c r="C116" s="2144"/>
      <c r="D116" s="2144"/>
      <c r="E116" s="2144"/>
      <c r="F116" s="21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3"/>
      <c r="AE116" s="43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5"/>
      <c r="BE116" s="45"/>
      <c r="BF116" s="46"/>
      <c r="BG116" s="46"/>
      <c r="BH116" s="46"/>
      <c r="BI116" s="46"/>
      <c r="BJ116" s="46"/>
      <c r="BK116" s="46"/>
      <c r="BL116" s="46"/>
      <c r="BM116" s="46"/>
      <c r="BN116" s="46"/>
      <c r="BO116" s="46"/>
      <c r="BP116" s="365"/>
      <c r="BQ116" s="365"/>
      <c r="BR116" s="96"/>
      <c r="BS116" s="97"/>
      <c r="BT116" s="97"/>
      <c r="BU116" s="100"/>
      <c r="BV116" s="100"/>
      <c r="BW116" s="96"/>
      <c r="BX116" s="97"/>
      <c r="BY116" s="100"/>
      <c r="BZ116" s="52"/>
      <c r="CA116" s="53"/>
      <c r="CB116" s="53"/>
      <c r="CC116" s="53"/>
      <c r="CD116" s="206"/>
      <c r="CE116" s="369"/>
      <c r="CF116" s="365"/>
      <c r="CG116" s="365"/>
      <c r="CH116" s="244"/>
      <c r="CI116" s="369"/>
      <c r="CJ116" s="715"/>
    </row>
    <row r="117" spans="1:89" ht="37.5" hidden="1" outlineLevel="1">
      <c r="A117" s="484" t="s">
        <v>95</v>
      </c>
      <c r="B117" s="247"/>
      <c r="C117" s="247"/>
      <c r="D117" s="612"/>
      <c r="E117" s="248"/>
      <c r="F117" s="270"/>
      <c r="G117" s="65"/>
      <c r="H117" s="65"/>
      <c r="I117" s="65"/>
      <c r="J117" s="65"/>
      <c r="K117" s="66"/>
      <c r="L117" s="670"/>
      <c r="M117" s="252"/>
      <c r="N117" s="252"/>
      <c r="O117" s="287"/>
      <c r="P117" s="71"/>
      <c r="Q117" s="71"/>
      <c r="R117" s="71"/>
      <c r="S117" s="273"/>
      <c r="T117" s="63"/>
      <c r="U117" s="71"/>
      <c r="V117" s="537"/>
      <c r="W117" s="71"/>
      <c r="X117" s="537"/>
      <c r="Y117" s="630"/>
      <c r="Z117" s="631"/>
      <c r="AA117" s="287"/>
      <c r="AB117" s="635"/>
      <c r="AC117" s="537"/>
      <c r="AD117" s="274" t="s">
        <v>109</v>
      </c>
      <c r="AE117" s="73"/>
      <c r="AF117" s="135"/>
      <c r="AG117" s="135"/>
      <c r="AH117" s="74"/>
      <c r="AI117" s="75" t="str">
        <f>IF(T117="","",AH117*T117)</f>
        <v/>
      </c>
      <c r="AJ117" s="76"/>
      <c r="AK117" s="77"/>
      <c r="AL117" s="77">
        <f>AK117</f>
        <v>0</v>
      </c>
      <c r="AM117" s="74"/>
      <c r="AN117" s="75"/>
      <c r="AO117" s="78">
        <f>DAY(AL117)</f>
        <v>0</v>
      </c>
      <c r="AP117" s="74"/>
      <c r="AQ117" s="256"/>
      <c r="AR117" s="614"/>
      <c r="AS117" s="80"/>
      <c r="AT117" s="80"/>
      <c r="AU117" s="247"/>
      <c r="AV117" s="247"/>
      <c r="AW117" s="68"/>
      <c r="AX117" s="373"/>
      <c r="AY117" s="83" t="s">
        <v>84</v>
      </c>
      <c r="AZ117" s="311" t="str">
        <f>IF(AP117&lt;1,"-",AP117-Y117)</f>
        <v>-</v>
      </c>
      <c r="BA117" s="64" t="str">
        <f>IF(AZ117="-","-",($B$2-AO117+1)*AZ117)</f>
        <v>-</v>
      </c>
      <c r="BB117" s="63" t="str">
        <f>IF(AZ117="-","-",AZ117-H117)</f>
        <v>-</v>
      </c>
      <c r="BC117" s="312"/>
      <c r="BD117" s="313"/>
      <c r="BE117" s="736"/>
      <c r="BF117" s="737"/>
      <c r="BG117" s="90"/>
      <c r="BH117" s="738"/>
      <c r="BI117" s="738"/>
      <c r="BJ117" s="738"/>
      <c r="BK117" s="738"/>
      <c r="BL117" s="738"/>
      <c r="BM117" s="738"/>
      <c r="BN117" s="738"/>
      <c r="BO117" s="738"/>
      <c r="BP117" s="560"/>
      <c r="BQ117" s="561"/>
      <c r="BR117" s="536"/>
      <c r="BS117" s="214"/>
      <c r="BT117" s="131"/>
      <c r="BU117" s="1923"/>
      <c r="BV117" s="99" t="str">
        <f>IF(AO117&lt;1,"",(AO117))</f>
        <v/>
      </c>
      <c r="BW117" s="130"/>
      <c r="BX117" s="131"/>
      <c r="BY117" s="131"/>
      <c r="BZ117" s="101"/>
      <c r="CA117" s="102"/>
      <c r="CB117" s="103" t="e">
        <f>($D$1-AL117)*AZ117</f>
        <v>#VALUE!</v>
      </c>
      <c r="CC117" s="104">
        <f>IF(AO117&gt;0,"-",(AG117-CA117))</f>
        <v>0</v>
      </c>
      <c r="CD117" s="105">
        <f>IF(AO117&gt;0,"-",(($D$1-CA117)*H117))</f>
        <v>0</v>
      </c>
      <c r="CE117" s="627"/>
      <c r="CF117" s="107"/>
      <c r="CG117" s="108"/>
      <c r="CH117" s="109"/>
      <c r="CI117" s="721" t="s">
        <v>105</v>
      </c>
      <c r="CJ117" s="715"/>
      <c r="CK117" s="111"/>
    </row>
    <row r="118" spans="1:89" ht="37.5" hidden="1" outlineLevel="1">
      <c r="A118" s="484" t="s">
        <v>95</v>
      </c>
      <c r="B118" s="270"/>
      <c r="C118" s="270"/>
      <c r="D118" s="62"/>
      <c r="E118" s="62"/>
      <c r="F118" s="270"/>
      <c r="G118" s="80"/>
      <c r="H118" s="80"/>
      <c r="I118" s="65"/>
      <c r="J118" s="65"/>
      <c r="K118" s="739"/>
      <c r="L118" s="80"/>
      <c r="M118" s="252"/>
      <c r="N118" s="252"/>
      <c r="O118" s="71"/>
      <c r="P118" s="71"/>
      <c r="Q118" s="71"/>
      <c r="R118" s="71"/>
      <c r="S118" s="273"/>
      <c r="T118" s="85"/>
      <c r="U118" s="71"/>
      <c r="V118" s="71"/>
      <c r="W118" s="71"/>
      <c r="X118" s="71"/>
      <c r="Y118" s="85"/>
      <c r="Z118" s="71"/>
      <c r="AA118" s="71"/>
      <c r="AB118" s="71"/>
      <c r="AC118" s="72"/>
      <c r="AD118" s="274" t="s">
        <v>109</v>
      </c>
      <c r="AE118" s="740"/>
      <c r="AF118" s="741"/>
      <c r="AG118" s="555"/>
      <c r="AH118" s="74"/>
      <c r="AI118" s="75"/>
      <c r="AJ118" s="319"/>
      <c r="AK118" s="288"/>
      <c r="AL118" s="288">
        <f>AK118</f>
        <v>0</v>
      </c>
      <c r="AM118" s="74">
        <f>SUM(IF(AJ118="переход","",IF(AL118="переход",$D$1-AJ118,AL118-AJ118)))</f>
        <v>0</v>
      </c>
      <c r="AN118" s="75" t="str">
        <f>IF(Y118="","",AM118*Y118)</f>
        <v/>
      </c>
      <c r="AO118" s="78">
        <f>DAY(AL118)</f>
        <v>0</v>
      </c>
      <c r="AP118" s="74"/>
      <c r="AQ118" s="256"/>
      <c r="AR118" s="614"/>
      <c r="AS118" s="66"/>
      <c r="AT118" s="247"/>
      <c r="AU118" s="247"/>
      <c r="AV118" s="247"/>
      <c r="AW118" s="68"/>
      <c r="AX118" s="258"/>
      <c r="AY118" s="83" t="s">
        <v>84</v>
      </c>
      <c r="AZ118" s="311" t="str">
        <f>IF(AP118&lt;1,"-",AP118-Y118)</f>
        <v>-</v>
      </c>
      <c r="BA118" s="64" t="str">
        <f>IF(AZ118="-","-",($B$2-AO118+1)*AZ118)</f>
        <v>-</v>
      </c>
      <c r="BB118" s="63" t="str">
        <f>IF(AZ118="-","-",AZ118-H118)</f>
        <v>-</v>
      </c>
      <c r="BC118" s="64"/>
      <c r="BD118" s="516"/>
      <c r="BE118" s="705"/>
      <c r="BF118" s="291"/>
      <c r="BG118" s="729"/>
      <c r="BH118" s="293"/>
      <c r="BI118" s="293"/>
      <c r="BJ118" s="293"/>
      <c r="BK118" s="293"/>
      <c r="BL118" s="293"/>
      <c r="BM118" s="293"/>
      <c r="BN118" s="293" t="str">
        <f>IF(BH118=0,"-",BH118-AP118)</f>
        <v>-</v>
      </c>
      <c r="BO118" s="293" t="str">
        <f>IF(BI118=0,"-",BI118-AQ118)</f>
        <v>-</v>
      </c>
      <c r="BP118" s="742" t="str">
        <f>IF(BN118="-","-",AZ118+BN118)</f>
        <v>-</v>
      </c>
      <c r="BQ118" s="742" t="str">
        <f>IF(BN118="-","-",(($B$2-AO118+1)*(AZ118+BN118)))</f>
        <v>-</v>
      </c>
      <c r="BR118" s="130"/>
      <c r="BS118" s="214"/>
      <c r="BT118" s="131"/>
      <c r="BU118" s="1923"/>
      <c r="BV118" s="99" t="str">
        <f>IF(AO118&lt;1,"",(AO118))</f>
        <v/>
      </c>
      <c r="BW118" s="130"/>
      <c r="BX118" s="131"/>
      <c r="BY118" s="131"/>
      <c r="BZ118" s="101"/>
      <c r="CA118" s="102"/>
      <c r="CB118" s="103" t="e">
        <f>($D$1-AL118)*AZ118</f>
        <v>#VALUE!</v>
      </c>
      <c r="CC118" s="104">
        <f>IF(AO118&gt;0,"-",(AG118-CA118))</f>
        <v>0</v>
      </c>
      <c r="CD118" s="105">
        <f>IF(AO118&gt;0,"-",(($D$1-CA118)*H118))</f>
        <v>0</v>
      </c>
      <c r="CE118" s="627"/>
      <c r="CF118" s="107"/>
      <c r="CG118" s="108"/>
      <c r="CH118" s="109"/>
      <c r="CI118" s="217"/>
      <c r="CJ118" s="715"/>
    </row>
    <row r="119" spans="1:89" ht="18.75" hidden="1" outlineLevel="1">
      <c r="A119" s="148" t="s">
        <v>86</v>
      </c>
      <c r="B119" s="149">
        <f>COUNTIF(A117:A118,$B$1)</f>
        <v>0</v>
      </c>
      <c r="C119" s="150"/>
      <c r="D119" s="151"/>
      <c r="E119" s="151"/>
      <c r="F119" s="151"/>
      <c r="G119" s="152">
        <f>SUMIF(A117:A118,$B$1,G117:G118)</f>
        <v>0</v>
      </c>
      <c r="H119" s="152">
        <f>SUMIF(A118:A118,$B$1,H118:H118)</f>
        <v>0</v>
      </c>
      <c r="I119" s="152">
        <f>SUM(I118:I118)</f>
        <v>0</v>
      </c>
      <c r="J119" s="152"/>
      <c r="K119" s="152"/>
      <c r="L119" s="152"/>
      <c r="M119" s="152"/>
      <c r="N119" s="152"/>
      <c r="O119" s="152"/>
      <c r="P119" s="152"/>
      <c r="Q119" s="152"/>
      <c r="R119" s="152"/>
      <c r="S119" s="152"/>
      <c r="T119" s="152"/>
      <c r="U119" s="152"/>
      <c r="V119" s="151"/>
      <c r="W119" s="151"/>
      <c r="X119" s="151"/>
      <c r="Y119" s="152"/>
      <c r="Z119" s="152"/>
      <c r="AA119" s="151"/>
      <c r="AB119" s="151"/>
      <c r="AC119" s="151"/>
      <c r="AD119" s="151"/>
      <c r="AE119" s="154"/>
      <c r="AF119" s="155"/>
      <c r="AG119" s="156"/>
      <c r="AH119" s="152"/>
      <c r="AI119" s="157"/>
      <c r="AJ119" s="730"/>
      <c r="AK119" s="156"/>
      <c r="AL119" s="156"/>
      <c r="AM119" s="152"/>
      <c r="AN119" s="157"/>
      <c r="AO119" s="297"/>
      <c r="AP119" s="152"/>
      <c r="AQ119" s="152"/>
      <c r="AR119" s="161"/>
      <c r="AS119" s="151"/>
      <c r="AT119" s="151"/>
      <c r="AU119" s="151"/>
      <c r="AV119" s="151"/>
      <c r="AW119" s="151"/>
      <c r="AX119" s="151"/>
      <c r="AY119" s="151"/>
      <c r="AZ119" s="163">
        <f>SUM(AZ117:AZ118)</f>
        <v>0</v>
      </c>
      <c r="BA119" s="163">
        <f>SUM(BA117:BA118)</f>
        <v>0</v>
      </c>
      <c r="BB119" s="163">
        <f>SUM(BB117:BB118)</f>
        <v>0</v>
      </c>
      <c r="BC119" s="221" t="str">
        <f>IF(COUNT(BC117:BC118)=0,"-",AVERAGE(BC117:BC118))</f>
        <v>-</v>
      </c>
      <c r="BD119" s="165"/>
      <c r="BE119" s="340"/>
      <c r="BF119" s="340"/>
      <c r="BG119" s="341"/>
      <c r="BH119" s="341"/>
      <c r="BI119" s="341"/>
      <c r="BJ119" s="341"/>
      <c r="BK119" s="341"/>
      <c r="BL119" s="341"/>
      <c r="BM119" s="341"/>
      <c r="BN119" s="341"/>
      <c r="BO119" s="341"/>
      <c r="BP119" s="163">
        <f>SUM(BP108:BP118)</f>
        <v>0</v>
      </c>
      <c r="BQ119" s="163">
        <f>SUM(BQ108:BQ118)</f>
        <v>0</v>
      </c>
      <c r="BR119" s="708">
        <f>COUNTA(BR108:BR118)</f>
        <v>0</v>
      </c>
      <c r="BS119" s="709">
        <f>SUM(BS108:BS118)</f>
        <v>0</v>
      </c>
      <c r="BT119" s="710"/>
      <c r="BU119" s="1931">
        <f>SUM(BU108:BU118)</f>
        <v>0</v>
      </c>
      <c r="BV119" s="1915"/>
      <c r="BW119" s="571">
        <f>COUNTA(BW115:BW118)</f>
        <v>0</v>
      </c>
      <c r="BX119" s="573">
        <f>SUM(BX108:BX118)</f>
        <v>0</v>
      </c>
      <c r="BY119" s="575">
        <f>SUM(BY108:BY118)</f>
        <v>0</v>
      </c>
      <c r="BZ119" s="171"/>
      <c r="CA119" s="548"/>
      <c r="CB119" s="173">
        <f>AO119</f>
        <v>0</v>
      </c>
      <c r="CC119" s="173">
        <f>COUNTIF(CC117:CC118,"=0")</f>
        <v>2</v>
      </c>
      <c r="CD119" s="174">
        <f>SUM(COUNTIF(CC117:CC118,"&lt;0"),COUNTIF(CC117:CC118,"&gt;0"))</f>
        <v>0</v>
      </c>
      <c r="CE119" s="225">
        <f>COUNTIF(CE108:CE112,"1")</f>
        <v>0</v>
      </c>
      <c r="CF119" s="226">
        <f>SUM(CF108:CF112)</f>
        <v>0</v>
      </c>
      <c r="CG119" s="227">
        <f>COUNTIF(CG108:CG118,"1")</f>
        <v>0</v>
      </c>
      <c r="CH119" s="228">
        <f>SUM(CH108:CH118)</f>
        <v>0</v>
      </c>
      <c r="CI119" s="731"/>
      <c r="CJ119" s="715"/>
    </row>
    <row r="120" spans="1:89" ht="18.75" hidden="1" outlineLevel="1">
      <c r="A120" s="179" t="s">
        <v>87</v>
      </c>
      <c r="B120" s="180">
        <f>COUNT(A117:A118)</f>
        <v>0</v>
      </c>
      <c r="C120" s="181"/>
      <c r="D120" s="182"/>
      <c r="E120" s="182"/>
      <c r="F120" s="182"/>
      <c r="G120" s="184">
        <f>SUM(G108:G112)</f>
        <v>0</v>
      </c>
      <c r="H120" s="184">
        <f>SUM(H118:H118)</f>
        <v>0</v>
      </c>
      <c r="I120" s="184"/>
      <c r="J120" s="184">
        <f>SUM(J118:J118)</f>
        <v>0</v>
      </c>
      <c r="K120" s="184"/>
      <c r="L120" s="184"/>
      <c r="M120" s="184"/>
      <c r="N120" s="184"/>
      <c r="O120" s="184"/>
      <c r="P120" s="184"/>
      <c r="Q120" s="184"/>
      <c r="R120" s="184"/>
      <c r="S120" s="185"/>
      <c r="T120" s="187">
        <f>SUM(T108:T112)</f>
        <v>0</v>
      </c>
      <c r="U120" s="185"/>
      <c r="V120" s="182"/>
      <c r="W120" s="182"/>
      <c r="X120" s="182"/>
      <c r="Y120" s="187">
        <f>SUM(Y108:Y112)</f>
        <v>0</v>
      </c>
      <c r="Z120" s="185"/>
      <c r="AA120" s="182"/>
      <c r="AB120" s="182"/>
      <c r="AC120" s="182"/>
      <c r="AD120" s="182"/>
      <c r="AE120" s="186"/>
      <c r="AF120" s="186"/>
      <c r="AG120" s="186"/>
      <c r="AH120" s="184"/>
      <c r="AI120" s="184"/>
      <c r="AJ120" s="186"/>
      <c r="AK120" s="186"/>
      <c r="AL120" s="186"/>
      <c r="AM120" s="184"/>
      <c r="AN120" s="184"/>
      <c r="AO120" s="182"/>
      <c r="AP120" s="182"/>
      <c r="AQ120" s="182"/>
      <c r="AR120" s="187"/>
      <c r="AS120" s="182"/>
      <c r="AT120" s="182"/>
      <c r="AU120" s="182"/>
      <c r="AV120" s="182"/>
      <c r="AW120" s="182"/>
      <c r="AX120" s="182"/>
      <c r="AY120" s="182"/>
      <c r="AZ120" s="188">
        <f>SUM(AZ119,AZ113)</f>
        <v>0</v>
      </c>
      <c r="BA120" s="188">
        <f>SUM(BA119,BA113)</f>
        <v>0</v>
      </c>
      <c r="BB120" s="188">
        <f>SUM(BB119,BB113)</f>
        <v>0</v>
      </c>
      <c r="BC120" s="229" t="str">
        <f>IF(COUNT(BC117:BC118,BC108:BC112)=0,"-",AVERAGE(BC117:BC118,BC108:BC112))</f>
        <v>-</v>
      </c>
      <c r="BD120" s="188">
        <f>+BD114</f>
        <v>0</v>
      </c>
      <c r="BE120" s="535"/>
      <c r="BF120" s="535"/>
      <c r="BG120" s="476"/>
      <c r="BH120" s="476"/>
      <c r="BI120" s="476"/>
      <c r="BJ120" s="476"/>
      <c r="BK120" s="476"/>
      <c r="BL120" s="476"/>
      <c r="BM120" s="476"/>
      <c r="BN120" s="476"/>
      <c r="BO120" s="476"/>
      <c r="BP120" s="743"/>
      <c r="BQ120" s="689"/>
      <c r="BR120" s="353"/>
      <c r="BS120" s="355"/>
      <c r="BT120" s="355"/>
      <c r="BU120" s="1900"/>
      <c r="BV120" s="1603">
        <f>SUMIF(BV108:BV118,"",BU108:BU118)</f>
        <v>0</v>
      </c>
      <c r="BW120" s="471"/>
      <c r="BX120" s="472"/>
      <c r="BY120" s="473"/>
      <c r="BZ120" s="195"/>
      <c r="CA120" s="196"/>
      <c r="CB120" s="197" t="e">
        <f>SUM(CB117:CB118)</f>
        <v>#VALUE!</v>
      </c>
      <c r="CC120" s="197">
        <f>SUMIF(CC117:CC118,"=0",CD117:CD118)</f>
        <v>0</v>
      </c>
      <c r="CD120" s="198">
        <f>SUMIF(CC117:CC118,"&lt;&gt;0",CD117:CD118)</f>
        <v>0</v>
      </c>
      <c r="CE120" s="197"/>
      <c r="CF120" s="197"/>
      <c r="CG120" s="197"/>
      <c r="CH120" s="197"/>
      <c r="CI120" s="744"/>
      <c r="CJ120" s="715"/>
    </row>
    <row r="121" spans="1:89" ht="23.25" hidden="1" outlineLevel="1" collapsed="1">
      <c r="A121" s="745" t="s">
        <v>94</v>
      </c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3"/>
      <c r="AE121" s="43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5"/>
      <c r="BE121" s="45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78"/>
      <c r="BQ121" s="47"/>
      <c r="BR121" s="550"/>
      <c r="BS121" s="551"/>
      <c r="BT121" s="551"/>
      <c r="BU121" s="1901"/>
      <c r="BV121" s="552"/>
      <c r="BW121" s="207"/>
      <c r="BX121" s="208"/>
      <c r="BY121" s="209"/>
      <c r="BZ121" s="482"/>
      <c r="CA121" s="478"/>
      <c r="CB121" s="478"/>
      <c r="CC121" s="478"/>
      <c r="CD121" s="47"/>
      <c r="CE121" s="478"/>
      <c r="CF121" s="478"/>
      <c r="CG121" s="478"/>
      <c r="CH121" s="478"/>
      <c r="CI121" s="482"/>
      <c r="CJ121" s="715"/>
    </row>
    <row r="122" spans="1:89" ht="18.75" hidden="1" outlineLevel="1">
      <c r="A122" s="59"/>
      <c r="B122" s="270"/>
      <c r="C122" s="270"/>
      <c r="D122" s="61"/>
      <c r="E122" s="62"/>
      <c r="F122" s="270"/>
      <c r="G122" s="64">
        <f>M122</f>
        <v>0</v>
      </c>
      <c r="H122" s="65">
        <f>M122-T122</f>
        <v>0</v>
      </c>
      <c r="I122" s="65">
        <f>IF($B$2&gt;=A122,($B$2-A122+1)*H122,"-")</f>
        <v>0</v>
      </c>
      <c r="J122" s="65">
        <f>($A$2-A122+1)*H122</f>
        <v>0</v>
      </c>
      <c r="K122" s="66"/>
      <c r="L122" s="67">
        <f ca="1">IF((AE122)&lt;$L$2-DAY($L$2)+1,H122,H122+T122)</f>
        <v>0</v>
      </c>
      <c r="M122" s="252"/>
      <c r="N122" s="252"/>
      <c r="O122" s="69"/>
      <c r="P122" s="71"/>
      <c r="Q122" s="71"/>
      <c r="R122" s="71"/>
      <c r="S122" s="273"/>
      <c r="T122" s="63"/>
      <c r="U122" s="71"/>
      <c r="V122" s="287"/>
      <c r="W122" s="71"/>
      <c r="X122" s="71"/>
      <c r="Y122" s="63"/>
      <c r="Z122" s="71"/>
      <c r="AA122" s="71"/>
      <c r="AB122" s="71"/>
      <c r="AC122" s="72"/>
      <c r="AD122" s="134" t="s">
        <v>110</v>
      </c>
      <c r="AE122" s="319"/>
      <c r="AF122" s="135"/>
      <c r="AG122" s="135"/>
      <c r="AH122" s="74"/>
      <c r="AI122" s="75"/>
      <c r="AJ122" s="746"/>
      <c r="AK122" s="288"/>
      <c r="AL122" s="288">
        <f>AK122</f>
        <v>0</v>
      </c>
      <c r="AM122" s="74"/>
      <c r="AN122" s="75"/>
      <c r="AO122" s="78"/>
      <c r="AP122" s="74"/>
      <c r="AQ122" s="63"/>
      <c r="AR122" s="614"/>
      <c r="AS122" s="80"/>
      <c r="AT122" s="68"/>
      <c r="AU122" s="68"/>
      <c r="AV122" s="68"/>
      <c r="AW122" s="68"/>
      <c r="AX122" s="258"/>
      <c r="AY122" s="83" t="s">
        <v>84</v>
      </c>
      <c r="AZ122" s="311" t="str">
        <f>IF(AP122&lt;1,"-",AP122-Y122)</f>
        <v>-</v>
      </c>
      <c r="BA122" s="64" t="str">
        <f>IF(AZ122="-","-",($B$2-AO122+1)*AZ122)</f>
        <v>-</v>
      </c>
      <c r="BB122" s="63" t="str">
        <f>IF(AZ122="-","-",AZ122-H122)</f>
        <v>-</v>
      </c>
      <c r="BC122" s="86" t="str">
        <f>IF(AZ122="-","-",AZ122/H122)</f>
        <v>-</v>
      </c>
      <c r="BD122" s="139">
        <f>IF(AP122&lt;1,IF($B$2&gt;=A122,($A$2-A122+1)*-1*H122,"-"),AZ122*($A$2-AO122+1)-H122*($A$2-A122+1))</f>
        <v>0</v>
      </c>
      <c r="BE122" s="455"/>
      <c r="BF122" s="716"/>
      <c r="BG122" s="747"/>
      <c r="BH122" s="91"/>
      <c r="BI122" s="91"/>
      <c r="BJ122" s="93"/>
      <c r="BK122" s="748"/>
      <c r="BL122" s="748"/>
      <c r="BM122" s="748"/>
      <c r="BN122" s="91" t="str">
        <f>IF(BH122=0,"-",BH122-AP122)</f>
        <v>-</v>
      </c>
      <c r="BO122" s="91" t="str">
        <f>IF(BI122=0,"-",BI122-AQ122)</f>
        <v>-</v>
      </c>
      <c r="BP122" s="91" t="str">
        <f>IF(BN122="-","-",AZ122+BN122)</f>
        <v>-</v>
      </c>
      <c r="BQ122" s="749" t="str">
        <f>IF(BN122="-","-",(($B$2-AO122+1)*(AZ122+BN122)))</f>
        <v>-</v>
      </c>
      <c r="BR122" s="536"/>
      <c r="BS122" s="214"/>
      <c r="BT122" s="131"/>
      <c r="BU122" s="1923"/>
      <c r="BV122" s="99"/>
      <c r="BW122" s="215"/>
      <c r="BX122" s="214"/>
      <c r="BY122" s="214"/>
      <c r="BZ122" s="101"/>
      <c r="CA122" s="102"/>
      <c r="CB122" s="103" t="e">
        <f>($D$1-AL122)*AZ122</f>
        <v>#VALUE!</v>
      </c>
      <c r="CC122" s="104">
        <f>IF(AO122&gt;0,"-",(AG122-CA122))</f>
        <v>0</v>
      </c>
      <c r="CD122" s="105">
        <f>IF(AO122&gt;0,"-",(($D$1-CA122)*H122))</f>
        <v>0</v>
      </c>
      <c r="CE122" s="718"/>
      <c r="CF122" s="719"/>
      <c r="CG122" s="719"/>
      <c r="CH122" s="720"/>
      <c r="CI122" s="721" t="s">
        <v>111</v>
      </c>
      <c r="CJ122" s="750"/>
    </row>
    <row r="123" spans="1:89" ht="18.75" hidden="1" outlineLevel="1">
      <c r="A123" s="59"/>
      <c r="B123" s="270"/>
      <c r="C123" s="270"/>
      <c r="D123" s="62"/>
      <c r="E123" s="62"/>
      <c r="F123" s="270"/>
      <c r="G123" s="64">
        <f>M123</f>
        <v>0</v>
      </c>
      <c r="H123" s="65">
        <f>M123-T123</f>
        <v>0</v>
      </c>
      <c r="I123" s="65">
        <f>IF($B$2&gt;=A123,($B$2-A123+1)*H123,"-")</f>
        <v>0</v>
      </c>
      <c r="J123" s="65">
        <f>($A$2-A123+1)*H123</f>
        <v>0</v>
      </c>
      <c r="K123" s="66"/>
      <c r="L123" s="67">
        <f ca="1">IF((AE123)&lt;$L$2-DAY($L$2)+1,H123,H123+T123)</f>
        <v>0</v>
      </c>
      <c r="M123" s="252"/>
      <c r="N123" s="252"/>
      <c r="O123" s="287"/>
      <c r="P123" s="71"/>
      <c r="Q123" s="71"/>
      <c r="R123" s="71"/>
      <c r="S123" s="273"/>
      <c r="T123" s="63"/>
      <c r="U123" s="71"/>
      <c r="V123" s="71"/>
      <c r="W123" s="71"/>
      <c r="X123" s="71"/>
      <c r="Y123" s="63"/>
      <c r="Z123" s="71"/>
      <c r="AA123" s="71"/>
      <c r="AB123" s="71"/>
      <c r="AC123" s="72"/>
      <c r="AD123" s="134" t="s">
        <v>110</v>
      </c>
      <c r="AE123" s="319"/>
      <c r="AF123" s="135"/>
      <c r="AG123" s="135"/>
      <c r="AH123" s="74"/>
      <c r="AI123" s="75"/>
      <c r="AJ123" s="319"/>
      <c r="AK123" s="77"/>
      <c r="AL123" s="288">
        <f>AK123</f>
        <v>0</v>
      </c>
      <c r="AM123" s="74"/>
      <c r="AN123" s="75"/>
      <c r="AO123" s="78"/>
      <c r="AP123" s="74"/>
      <c r="AQ123" s="256"/>
      <c r="AR123" s="614"/>
      <c r="AS123" s="80"/>
      <c r="AT123" s="247"/>
      <c r="AU123" s="247"/>
      <c r="AV123" s="247"/>
      <c r="AW123" s="68"/>
      <c r="AX123" s="258"/>
      <c r="AY123" s="83" t="s">
        <v>84</v>
      </c>
      <c r="AZ123" s="311" t="str">
        <f>IF(AP123&lt;1,"-",AP123-Y123)</f>
        <v>-</v>
      </c>
      <c r="BA123" s="64" t="str">
        <f>IF(AZ123="-","-",($B$2-AO123+1)*AZ123)</f>
        <v>-</v>
      </c>
      <c r="BB123" s="63" t="str">
        <f>IF(AZ123="-","-",AZ123-H123)</f>
        <v>-</v>
      </c>
      <c r="BC123" s="86" t="str">
        <f>IF(AZ123="-","-",AZ123/H123)</f>
        <v>-</v>
      </c>
      <c r="BD123" s="139">
        <f>IF(AP123&lt;1,IF($B$2&gt;=A123,($A$2-A123+1)*-1*H123,"-"),AZ123*($A$2-AO123+1)-H123*($A$2-A123+1))</f>
        <v>0</v>
      </c>
      <c r="BE123" s="751"/>
      <c r="BF123" s="752"/>
      <c r="BG123" s="753"/>
      <c r="BH123" s="423"/>
      <c r="BI123" s="754"/>
      <c r="BJ123" s="423"/>
      <c r="BK123" s="755"/>
      <c r="BL123" s="755"/>
      <c r="BM123" s="755"/>
      <c r="BN123" s="754"/>
      <c r="BO123" s="754"/>
      <c r="BP123" s="754"/>
      <c r="BQ123" s="756"/>
      <c r="BR123" s="679"/>
      <c r="BS123" s="214"/>
      <c r="BT123" s="131"/>
      <c r="BU123" s="1923"/>
      <c r="BV123" s="99"/>
      <c r="BW123" s="215"/>
      <c r="BX123" s="214"/>
      <c r="BY123" s="214"/>
      <c r="BZ123" s="433" t="e">
        <f>NA()</f>
        <v>#N/A</v>
      </c>
      <c r="CA123" s="434" t="e">
        <f>NA()</f>
        <v>#N/A</v>
      </c>
      <c r="CB123" s="435" t="e">
        <f>($D$1-AL123)*AZ123</f>
        <v>#VALUE!</v>
      </c>
      <c r="CC123" s="436" t="e">
        <f>IF(AO123&gt;0,"-",(AG123-CA123))</f>
        <v>#N/A</v>
      </c>
      <c r="CD123" s="437" t="e">
        <f>IF(AO123&gt;0,"-",(($D$1-CA123)*H123))</f>
        <v>#N/A</v>
      </c>
      <c r="CE123" s="757"/>
      <c r="CF123" s="758"/>
      <c r="CG123" s="758"/>
      <c r="CH123" s="759"/>
      <c r="CI123" s="760" t="s">
        <v>111</v>
      </c>
      <c r="CJ123" s="715"/>
    </row>
    <row r="124" spans="1:89" ht="56.25" hidden="1" outlineLevel="1">
      <c r="A124" s="386"/>
      <c r="B124" s="247"/>
      <c r="C124" s="247"/>
      <c r="D124" s="248"/>
      <c r="E124" s="248"/>
      <c r="F124" s="247"/>
      <c r="G124" s="80"/>
      <c r="H124" s="80"/>
      <c r="I124" s="80"/>
      <c r="J124" s="80"/>
      <c r="K124" s="271"/>
      <c r="L124" s="80"/>
      <c r="M124" s="68"/>
      <c r="N124" s="68"/>
      <c r="O124" s="70"/>
      <c r="P124" s="70"/>
      <c r="Q124" s="70"/>
      <c r="R124" s="70"/>
      <c r="S124" s="761"/>
      <c r="T124" s="64"/>
      <c r="U124" s="70"/>
      <c r="V124" s="70"/>
      <c r="W124" s="70"/>
      <c r="X124" s="70"/>
      <c r="Y124" s="64"/>
      <c r="Z124" s="70"/>
      <c r="AA124" s="70"/>
      <c r="AB124" s="70"/>
      <c r="AC124" s="251"/>
      <c r="AD124" s="274"/>
      <c r="AE124" s="319"/>
      <c r="AF124" s="288"/>
      <c r="AG124" s="135"/>
      <c r="AH124" s="81"/>
      <c r="AI124" s="324"/>
      <c r="AJ124" s="319"/>
      <c r="AK124" s="288"/>
      <c r="AL124" s="288"/>
      <c r="AM124" s="81"/>
      <c r="AN124" s="324"/>
      <c r="AO124" s="542"/>
      <c r="AP124" s="81"/>
      <c r="AQ124" s="543"/>
      <c r="AR124" s="81"/>
      <c r="AS124" s="80"/>
      <c r="AT124" s="247"/>
      <c r="AU124" s="247"/>
      <c r="AV124" s="68"/>
      <c r="AW124" s="68"/>
      <c r="AX124" s="258"/>
      <c r="AY124" s="514" t="s">
        <v>112</v>
      </c>
      <c r="AZ124" s="84"/>
      <c r="BA124" s="64"/>
      <c r="BB124" s="64"/>
      <c r="BC124" s="64"/>
      <c r="BD124" s="516"/>
      <c r="BE124" s="751"/>
      <c r="BF124" s="752"/>
      <c r="BG124" s="762"/>
      <c r="BH124" s="423"/>
      <c r="BI124" s="754"/>
      <c r="BJ124" s="423"/>
      <c r="BK124" s="755"/>
      <c r="BL124" s="755"/>
      <c r="BM124" s="755"/>
      <c r="BN124" s="754"/>
      <c r="BO124" s="763"/>
      <c r="BP124" s="763"/>
      <c r="BQ124" s="764"/>
      <c r="BR124" s="679"/>
      <c r="BS124" s="428"/>
      <c r="BT124" s="428"/>
      <c r="BU124" s="430"/>
      <c r="BV124" s="430"/>
      <c r="BW124" s="427"/>
      <c r="BX124" s="428"/>
      <c r="BY124" s="428"/>
      <c r="BZ124" s="433"/>
      <c r="CA124" s="434"/>
      <c r="CB124" s="435"/>
      <c r="CC124" s="436"/>
      <c r="CD124" s="437"/>
      <c r="CE124" s="757"/>
      <c r="CF124" s="758"/>
      <c r="CG124" s="758"/>
      <c r="CH124" s="759"/>
      <c r="CI124" s="760" t="s">
        <v>111</v>
      </c>
      <c r="CJ124" s="715"/>
    </row>
    <row r="125" spans="1:89" ht="75" hidden="1" outlineLevel="1">
      <c r="A125" s="386"/>
      <c r="B125" s="247"/>
      <c r="C125" s="247"/>
      <c r="D125" s="248"/>
      <c r="E125" s="248"/>
      <c r="F125" s="247"/>
      <c r="G125" s="80"/>
      <c r="H125" s="322"/>
      <c r="I125" s="80"/>
      <c r="J125" s="80"/>
      <c r="K125" s="271"/>
      <c r="L125" s="80"/>
      <c r="M125" s="68"/>
      <c r="N125" s="68"/>
      <c r="O125" s="70"/>
      <c r="P125" s="70"/>
      <c r="Q125" s="70"/>
      <c r="R125" s="70"/>
      <c r="S125" s="249"/>
      <c r="T125" s="250"/>
      <c r="U125" s="70"/>
      <c r="V125" s="70"/>
      <c r="W125" s="70"/>
      <c r="X125" s="70"/>
      <c r="Y125" s="250"/>
      <c r="Z125" s="70"/>
      <c r="AA125" s="70"/>
      <c r="AB125" s="70"/>
      <c r="AC125" s="251"/>
      <c r="AD125" s="274"/>
      <c r="AE125" s="319"/>
      <c r="AF125" s="288"/>
      <c r="AG125" s="135"/>
      <c r="AH125" s="81"/>
      <c r="AI125" s="324"/>
      <c r="AJ125" s="319"/>
      <c r="AK125" s="288"/>
      <c r="AL125" s="288"/>
      <c r="AM125" s="81"/>
      <c r="AN125" s="324"/>
      <c r="AO125" s="542"/>
      <c r="AP125" s="81"/>
      <c r="AQ125" s="543"/>
      <c r="AR125" s="81"/>
      <c r="AS125" s="80"/>
      <c r="AT125" s="247"/>
      <c r="AU125" s="247"/>
      <c r="AV125" s="247"/>
      <c r="AW125" s="317"/>
      <c r="AX125" s="387"/>
      <c r="AY125" s="486" t="s">
        <v>113</v>
      </c>
      <c r="AZ125" s="765"/>
      <c r="BA125" s="418"/>
      <c r="BB125" s="418"/>
      <c r="BC125" s="418"/>
      <c r="BD125" s="419"/>
      <c r="BE125" s="751"/>
      <c r="BF125" s="766"/>
      <c r="BG125" s="766"/>
      <c r="BH125" s="423"/>
      <c r="BI125" s="754"/>
      <c r="BJ125" s="423"/>
      <c r="BK125" s="755"/>
      <c r="BL125" s="755"/>
      <c r="BM125" s="755"/>
      <c r="BN125" s="754"/>
      <c r="BO125" s="763"/>
      <c r="BP125" s="763"/>
      <c r="BQ125" s="764"/>
      <c r="BR125" s="679"/>
      <c r="BS125" s="428"/>
      <c r="BT125" s="428"/>
      <c r="BU125" s="1924"/>
      <c r="BV125" s="430"/>
      <c r="BW125" s="427"/>
      <c r="BX125" s="428"/>
      <c r="BY125" s="428"/>
      <c r="BZ125" s="433"/>
      <c r="CA125" s="434"/>
      <c r="CB125" s="435"/>
      <c r="CC125" s="436"/>
      <c r="CD125" s="437"/>
      <c r="CE125" s="757"/>
      <c r="CF125" s="758"/>
      <c r="CG125" s="758"/>
      <c r="CH125" s="759"/>
      <c r="CI125" s="760" t="s">
        <v>111</v>
      </c>
      <c r="CJ125" s="715"/>
    </row>
    <row r="126" spans="1:89" ht="56.25" hidden="1" outlineLevel="1">
      <c r="A126" s="395"/>
      <c r="B126" s="767"/>
      <c r="C126" s="767"/>
      <c r="D126" s="768"/>
      <c r="E126" s="768"/>
      <c r="F126" s="396"/>
      <c r="G126" s="769"/>
      <c r="H126" s="399"/>
      <c r="I126" s="399"/>
      <c r="J126" s="399"/>
      <c r="K126" s="767"/>
      <c r="L126" s="399"/>
      <c r="M126" s="770"/>
      <c r="N126" s="770"/>
      <c r="O126" s="771"/>
      <c r="P126" s="771"/>
      <c r="Q126" s="771"/>
      <c r="R126" s="771"/>
      <c r="S126" s="772"/>
      <c r="T126" s="418"/>
      <c r="U126" s="771"/>
      <c r="V126" s="771"/>
      <c r="W126" s="771"/>
      <c r="X126" s="771"/>
      <c r="Y126" s="418"/>
      <c r="Z126" s="771"/>
      <c r="AA126" s="771"/>
      <c r="AB126" s="771"/>
      <c r="AC126" s="773"/>
      <c r="AD126" s="774"/>
      <c r="AE126" s="775"/>
      <c r="AF126" s="776"/>
      <c r="AG126" s="410"/>
      <c r="AH126" s="408"/>
      <c r="AI126" s="409"/>
      <c r="AJ126" s="775"/>
      <c r="AK126" s="776"/>
      <c r="AL126" s="776"/>
      <c r="AM126" s="413"/>
      <c r="AN126" s="777"/>
      <c r="AO126" s="778"/>
      <c r="AP126" s="413"/>
      <c r="AQ126" s="779"/>
      <c r="AR126" s="413"/>
      <c r="AS126" s="399"/>
      <c r="AT126" s="396"/>
      <c r="AU126" s="396"/>
      <c r="AV126" s="396"/>
      <c r="AW126" s="446"/>
      <c r="AX126" s="780"/>
      <c r="AY126" s="447" t="s">
        <v>114</v>
      </c>
      <c r="AZ126" s="781"/>
      <c r="BA126" s="398"/>
      <c r="BB126" s="398"/>
      <c r="BC126" s="398"/>
      <c r="BD126" s="782"/>
      <c r="BE126" s="751"/>
      <c r="BF126" s="752"/>
      <c r="BG126" s="783"/>
      <c r="BH126" s="783"/>
      <c r="BI126" s="783"/>
      <c r="BJ126" s="783"/>
      <c r="BK126" s="783"/>
      <c r="BL126" s="783"/>
      <c r="BM126" s="783"/>
      <c r="BN126" s="783"/>
      <c r="BO126" s="783"/>
      <c r="BP126" s="784"/>
      <c r="BQ126" s="785"/>
      <c r="BR126" s="427"/>
      <c r="BS126" s="428"/>
      <c r="BT126" s="428"/>
      <c r="BU126" s="1924"/>
      <c r="BV126" s="430"/>
      <c r="BW126" s="427"/>
      <c r="BX126" s="428"/>
      <c r="BY126" s="428"/>
      <c r="BZ126" s="433"/>
      <c r="CA126" s="434"/>
      <c r="CB126" s="435"/>
      <c r="CC126" s="436"/>
      <c r="CD126" s="437"/>
      <c r="CE126" s="757"/>
      <c r="CF126" s="758"/>
      <c r="CG126" s="786"/>
      <c r="CH126" s="759"/>
      <c r="CI126" s="760" t="s">
        <v>111</v>
      </c>
      <c r="CJ126" s="715"/>
    </row>
    <row r="127" spans="1:89" ht="56.25" hidden="1" outlineLevel="1">
      <c r="A127" s="395"/>
      <c r="B127" s="767"/>
      <c r="C127" s="767"/>
      <c r="D127" s="768"/>
      <c r="E127" s="768"/>
      <c r="F127" s="396"/>
      <c r="G127" s="769"/>
      <c r="H127" s="399"/>
      <c r="I127" s="399"/>
      <c r="J127" s="399"/>
      <c r="K127" s="767"/>
      <c r="L127" s="399"/>
      <c r="M127" s="770"/>
      <c r="N127" s="770"/>
      <c r="O127" s="771"/>
      <c r="P127" s="771"/>
      <c r="Q127" s="771"/>
      <c r="R127" s="771"/>
      <c r="S127" s="772"/>
      <c r="T127" s="418"/>
      <c r="U127" s="771"/>
      <c r="V127" s="771"/>
      <c r="W127" s="771"/>
      <c r="X127" s="771"/>
      <c r="Y127" s="418"/>
      <c r="Z127" s="771"/>
      <c r="AA127" s="771"/>
      <c r="AB127" s="771"/>
      <c r="AC127" s="773"/>
      <c r="AD127" s="774"/>
      <c r="AE127" s="775"/>
      <c r="AF127" s="776"/>
      <c r="AG127" s="410"/>
      <c r="AH127" s="408"/>
      <c r="AI127" s="409"/>
      <c r="AJ127" s="775"/>
      <c r="AK127" s="410"/>
      <c r="AL127" s="410"/>
      <c r="AM127" s="408"/>
      <c r="AN127" s="409"/>
      <c r="AO127" s="411"/>
      <c r="AP127" s="408"/>
      <c r="AQ127" s="412"/>
      <c r="AR127" s="408"/>
      <c r="AS127" s="769"/>
      <c r="AT127" s="396"/>
      <c r="AU127" s="396"/>
      <c r="AV127" s="396"/>
      <c r="AW127" s="446"/>
      <c r="AX127" s="780"/>
      <c r="AY127" s="787" t="s">
        <v>115</v>
      </c>
      <c r="AZ127" s="781"/>
      <c r="BA127" s="398"/>
      <c r="BB127" s="398"/>
      <c r="BC127" s="398"/>
      <c r="BD127" s="782"/>
      <c r="BE127" s="751"/>
      <c r="BF127" s="752"/>
      <c r="BG127" s="783"/>
      <c r="BH127" s="783"/>
      <c r="BI127" s="783"/>
      <c r="BJ127" s="783"/>
      <c r="BK127" s="783"/>
      <c r="BL127" s="783"/>
      <c r="BM127" s="783"/>
      <c r="BN127" s="783"/>
      <c r="BO127" s="783"/>
      <c r="BP127" s="784"/>
      <c r="BQ127" s="785"/>
      <c r="BR127" s="427"/>
      <c r="BS127" s="428"/>
      <c r="BT127" s="428"/>
      <c r="BU127" s="1924"/>
      <c r="BV127" s="430"/>
      <c r="BW127" s="427"/>
      <c r="BX127" s="428"/>
      <c r="BY127" s="428"/>
      <c r="BZ127" s="433"/>
      <c r="CA127" s="434"/>
      <c r="CB127" s="435"/>
      <c r="CC127" s="436"/>
      <c r="CD127" s="437"/>
      <c r="CE127" s="757"/>
      <c r="CF127" s="758"/>
      <c r="CG127" s="786"/>
      <c r="CH127" s="759"/>
      <c r="CI127" s="760" t="s">
        <v>111</v>
      </c>
      <c r="CJ127" s="715"/>
    </row>
    <row r="128" spans="1:89" ht="75" hidden="1" outlineLevel="1">
      <c r="A128" s="395"/>
      <c r="B128" s="767"/>
      <c r="C128" s="767"/>
      <c r="D128" s="768"/>
      <c r="E128" s="768"/>
      <c r="F128" s="396"/>
      <c r="G128" s="769"/>
      <c r="H128" s="399"/>
      <c r="I128" s="399"/>
      <c r="J128" s="399"/>
      <c r="K128" s="788"/>
      <c r="L128" s="399"/>
      <c r="M128" s="770"/>
      <c r="N128" s="770"/>
      <c r="O128" s="771"/>
      <c r="P128" s="771"/>
      <c r="Q128" s="771"/>
      <c r="R128" s="771"/>
      <c r="S128" s="772"/>
      <c r="T128" s="418"/>
      <c r="U128" s="771"/>
      <c r="V128" s="771"/>
      <c r="W128" s="771"/>
      <c r="X128" s="771"/>
      <c r="Y128" s="418"/>
      <c r="Z128" s="771"/>
      <c r="AA128" s="771"/>
      <c r="AB128" s="771"/>
      <c r="AC128" s="773"/>
      <c r="AD128" s="774"/>
      <c r="AE128" s="775"/>
      <c r="AF128" s="776"/>
      <c r="AG128" s="410"/>
      <c r="AH128" s="413"/>
      <c r="AI128" s="777"/>
      <c r="AJ128" s="775"/>
      <c r="AK128" s="776"/>
      <c r="AL128" s="776"/>
      <c r="AM128" s="413"/>
      <c r="AN128" s="777"/>
      <c r="AO128" s="778"/>
      <c r="AP128" s="413"/>
      <c r="AQ128" s="779"/>
      <c r="AR128" s="413"/>
      <c r="AS128" s="399"/>
      <c r="AT128" s="396"/>
      <c r="AU128" s="396"/>
      <c r="AV128" s="396"/>
      <c r="AW128" s="446"/>
      <c r="AX128" s="780"/>
      <c r="AY128" s="789" t="s">
        <v>116</v>
      </c>
      <c r="AZ128" s="790"/>
      <c r="BA128" s="791"/>
      <c r="BB128" s="791"/>
      <c r="BC128" s="791"/>
      <c r="BD128" s="419"/>
      <c r="BE128" s="792"/>
      <c r="BF128" s="766"/>
      <c r="BG128" s="766"/>
      <c r="BH128" s="423"/>
      <c r="BI128" s="754"/>
      <c r="BJ128" s="423"/>
      <c r="BK128" s="755"/>
      <c r="BL128" s="755"/>
      <c r="BM128" s="755"/>
      <c r="BN128" s="754"/>
      <c r="BO128" s="763"/>
      <c r="BP128" s="763"/>
      <c r="BQ128" s="764"/>
      <c r="BR128" s="427"/>
      <c r="BS128" s="428"/>
      <c r="BT128" s="428"/>
      <c r="BU128" s="430"/>
      <c r="BV128" s="430"/>
      <c r="BW128" s="427"/>
      <c r="BX128" s="428"/>
      <c r="BY128" s="428"/>
      <c r="BZ128" s="433"/>
      <c r="CA128" s="434"/>
      <c r="CB128" s="435"/>
      <c r="CC128" s="436"/>
      <c r="CD128" s="437"/>
      <c r="CE128" s="757"/>
      <c r="CF128" s="758"/>
      <c r="CG128" s="758"/>
      <c r="CH128" s="759"/>
      <c r="CI128" s="760" t="s">
        <v>111</v>
      </c>
      <c r="CJ128" s="715"/>
    </row>
    <row r="129" spans="1:88" ht="56.25" hidden="1" outlineLevel="1">
      <c r="A129" s="395"/>
      <c r="B129" s="767"/>
      <c r="C129" s="767"/>
      <c r="D129" s="768"/>
      <c r="E129" s="768"/>
      <c r="F129" s="767"/>
      <c r="G129" s="769"/>
      <c r="H129" s="399"/>
      <c r="I129" s="399"/>
      <c r="J129" s="399"/>
      <c r="K129" s="788"/>
      <c r="L129" s="399"/>
      <c r="M129" s="770"/>
      <c r="N129" s="770"/>
      <c r="O129" s="771"/>
      <c r="P129" s="771"/>
      <c r="Q129" s="771"/>
      <c r="R129" s="771"/>
      <c r="S129" s="772"/>
      <c r="T129" s="418"/>
      <c r="U129" s="771"/>
      <c r="V129" s="771"/>
      <c r="W129" s="771"/>
      <c r="X129" s="771"/>
      <c r="Y129" s="418"/>
      <c r="Z129" s="771"/>
      <c r="AA129" s="771"/>
      <c r="AB129" s="771"/>
      <c r="AC129" s="773"/>
      <c r="AD129" s="774"/>
      <c r="AE129" s="775"/>
      <c r="AF129" s="776"/>
      <c r="AG129" s="410"/>
      <c r="AH129" s="408"/>
      <c r="AI129" s="409"/>
      <c r="AJ129" s="775"/>
      <c r="AK129" s="410"/>
      <c r="AL129" s="410"/>
      <c r="AM129" s="408"/>
      <c r="AN129" s="409"/>
      <c r="AO129" s="411"/>
      <c r="AP129" s="408"/>
      <c r="AQ129" s="412"/>
      <c r="AR129" s="408"/>
      <c r="AS129" s="769"/>
      <c r="AT129" s="396"/>
      <c r="AU129" s="396"/>
      <c r="AV129" s="396"/>
      <c r="AW129" s="446"/>
      <c r="AX129" s="780"/>
      <c r="AY129" s="789" t="s">
        <v>117</v>
      </c>
      <c r="AZ129" s="790"/>
      <c r="BA129" s="791"/>
      <c r="BB129" s="791"/>
      <c r="BC129" s="791"/>
      <c r="BD129" s="419"/>
      <c r="BE129" s="792"/>
      <c r="BF129" s="766"/>
      <c r="BG129" s="766"/>
      <c r="BH129" s="423"/>
      <c r="BI129" s="754"/>
      <c r="BJ129" s="423"/>
      <c r="BK129" s="755"/>
      <c r="BL129" s="755"/>
      <c r="BM129" s="755"/>
      <c r="BN129" s="754"/>
      <c r="BO129" s="763"/>
      <c r="BP129" s="763"/>
      <c r="BQ129" s="764"/>
      <c r="BR129" s="427"/>
      <c r="BS129" s="428"/>
      <c r="BT129" s="428"/>
      <c r="BU129" s="1924"/>
      <c r="BV129" s="430"/>
      <c r="BW129" s="427"/>
      <c r="BX129" s="428"/>
      <c r="BY129" s="428"/>
      <c r="BZ129" s="433"/>
      <c r="CA129" s="434"/>
      <c r="CB129" s="435"/>
      <c r="CC129" s="436"/>
      <c r="CD129" s="437"/>
      <c r="CE129" s="757"/>
      <c r="CF129" s="758"/>
      <c r="CG129" s="758"/>
      <c r="CH129" s="759"/>
      <c r="CI129" s="760" t="s">
        <v>111</v>
      </c>
      <c r="CJ129" s="715"/>
    </row>
    <row r="130" spans="1:88" ht="56.25" hidden="1" outlineLevel="1">
      <c r="A130" s="395"/>
      <c r="B130" s="767"/>
      <c r="C130" s="767"/>
      <c r="D130" s="768"/>
      <c r="E130" s="768"/>
      <c r="F130" s="767"/>
      <c r="G130" s="769"/>
      <c r="H130" s="399"/>
      <c r="I130" s="399"/>
      <c r="J130" s="399"/>
      <c r="K130" s="788"/>
      <c r="L130" s="399"/>
      <c r="M130" s="770"/>
      <c r="N130" s="770"/>
      <c r="O130" s="771"/>
      <c r="P130" s="771"/>
      <c r="Q130" s="771"/>
      <c r="R130" s="771"/>
      <c r="S130" s="772"/>
      <c r="T130" s="418"/>
      <c r="U130" s="771"/>
      <c r="V130" s="771"/>
      <c r="W130" s="771"/>
      <c r="X130" s="771"/>
      <c r="Y130" s="418"/>
      <c r="Z130" s="771"/>
      <c r="AA130" s="771"/>
      <c r="AB130" s="771"/>
      <c r="AC130" s="773"/>
      <c r="AD130" s="774"/>
      <c r="AE130" s="775"/>
      <c r="AF130" s="776"/>
      <c r="AG130" s="410"/>
      <c r="AH130" s="408"/>
      <c r="AI130" s="409"/>
      <c r="AJ130" s="775"/>
      <c r="AK130" s="410"/>
      <c r="AL130" s="410"/>
      <c r="AM130" s="408"/>
      <c r="AN130" s="409"/>
      <c r="AO130" s="411"/>
      <c r="AP130" s="408"/>
      <c r="AQ130" s="412"/>
      <c r="AR130" s="408"/>
      <c r="AS130" s="769"/>
      <c r="AT130" s="396"/>
      <c r="AU130" s="396"/>
      <c r="AV130" s="396"/>
      <c r="AW130" s="446"/>
      <c r="AX130" s="780"/>
      <c r="AY130" s="787" t="s">
        <v>117</v>
      </c>
      <c r="AZ130" s="790"/>
      <c r="BA130" s="791"/>
      <c r="BB130" s="791"/>
      <c r="BC130" s="791"/>
      <c r="BD130" s="419"/>
      <c r="BE130" s="792"/>
      <c r="BF130" s="766"/>
      <c r="BG130" s="766"/>
      <c r="BH130" s="423"/>
      <c r="BI130" s="754"/>
      <c r="BJ130" s="423"/>
      <c r="BK130" s="755"/>
      <c r="BL130" s="755"/>
      <c r="BM130" s="755"/>
      <c r="BN130" s="754"/>
      <c r="BO130" s="763"/>
      <c r="BP130" s="763"/>
      <c r="BQ130" s="764"/>
      <c r="BR130" s="427"/>
      <c r="BS130" s="428"/>
      <c r="BT130" s="428"/>
      <c r="BU130" s="1924"/>
      <c r="BV130" s="430"/>
      <c r="BW130" s="427"/>
      <c r="BX130" s="428"/>
      <c r="BY130" s="428"/>
      <c r="BZ130" s="433"/>
      <c r="CA130" s="434"/>
      <c r="CB130" s="435"/>
      <c r="CC130" s="436"/>
      <c r="CD130" s="437"/>
      <c r="CE130" s="757"/>
      <c r="CF130" s="758"/>
      <c r="CG130" s="758"/>
      <c r="CH130" s="759"/>
      <c r="CI130" s="760" t="s">
        <v>111</v>
      </c>
      <c r="CJ130" s="715"/>
    </row>
    <row r="131" spans="1:88" ht="56.25" hidden="1" outlineLevel="1">
      <c r="A131" s="395"/>
      <c r="B131" s="767"/>
      <c r="C131" s="767"/>
      <c r="D131" s="768"/>
      <c r="E131" s="768"/>
      <c r="F131" s="767"/>
      <c r="G131" s="769"/>
      <c r="H131" s="399"/>
      <c r="I131" s="399"/>
      <c r="J131" s="399"/>
      <c r="K131" s="788"/>
      <c r="L131" s="399"/>
      <c r="M131" s="770"/>
      <c r="N131" s="770"/>
      <c r="O131" s="771"/>
      <c r="P131" s="771"/>
      <c r="Q131" s="771"/>
      <c r="R131" s="771"/>
      <c r="S131" s="772"/>
      <c r="T131" s="418"/>
      <c r="U131" s="771"/>
      <c r="V131" s="771"/>
      <c r="W131" s="771"/>
      <c r="X131" s="771"/>
      <c r="Y131" s="418"/>
      <c r="Z131" s="771"/>
      <c r="AA131" s="771"/>
      <c r="AB131" s="771"/>
      <c r="AC131" s="773"/>
      <c r="AD131" s="774"/>
      <c r="AE131" s="775"/>
      <c r="AF131" s="776"/>
      <c r="AG131" s="410"/>
      <c r="AH131" s="408"/>
      <c r="AI131" s="409"/>
      <c r="AJ131" s="775"/>
      <c r="AK131" s="410"/>
      <c r="AL131" s="410"/>
      <c r="AM131" s="408"/>
      <c r="AN131" s="409"/>
      <c r="AO131" s="411"/>
      <c r="AP131" s="445"/>
      <c r="AQ131" s="412"/>
      <c r="AR131" s="445"/>
      <c r="AS131" s="788"/>
      <c r="AT131" s="396"/>
      <c r="AU131" s="396"/>
      <c r="AV131" s="396"/>
      <c r="AW131" s="396"/>
      <c r="AX131" s="780"/>
      <c r="AY131" s="793" t="s">
        <v>118</v>
      </c>
      <c r="AZ131" s="781"/>
      <c r="BA131" s="398"/>
      <c r="BB131" s="398"/>
      <c r="BC131" s="398"/>
      <c r="BD131" s="782"/>
      <c r="BE131" s="752"/>
      <c r="BF131" s="752"/>
      <c r="BG131" s="783"/>
      <c r="BH131" s="783"/>
      <c r="BI131" s="783"/>
      <c r="BJ131" s="783"/>
      <c r="BK131" s="783"/>
      <c r="BL131" s="783"/>
      <c r="BM131" s="783"/>
      <c r="BN131" s="783"/>
      <c r="BO131" s="783"/>
      <c r="BP131" s="794"/>
      <c r="BQ131" s="795"/>
      <c r="BR131" s="427"/>
      <c r="BS131" s="428"/>
      <c r="BT131" s="428"/>
      <c r="BU131" s="1924"/>
      <c r="BV131" s="430"/>
      <c r="BW131" s="427"/>
      <c r="BX131" s="428"/>
      <c r="BY131" s="428"/>
      <c r="BZ131" s="433"/>
      <c r="CA131" s="434"/>
      <c r="CB131" s="435"/>
      <c r="CC131" s="436"/>
      <c r="CD131" s="437"/>
      <c r="CE131" s="757"/>
      <c r="CF131" s="758"/>
      <c r="CG131" s="786"/>
      <c r="CH131" s="759"/>
      <c r="CI131" s="760" t="s">
        <v>111</v>
      </c>
      <c r="CJ131" s="715"/>
    </row>
    <row r="132" spans="1:88" ht="56.25" hidden="1" outlineLevel="1">
      <c r="A132" s="395"/>
      <c r="B132" s="767"/>
      <c r="C132" s="767"/>
      <c r="D132" s="768"/>
      <c r="E132" s="768"/>
      <c r="F132" s="767"/>
      <c r="G132" s="769"/>
      <c r="H132" s="399"/>
      <c r="I132" s="399"/>
      <c r="J132" s="399"/>
      <c r="K132" s="788"/>
      <c r="L132" s="399"/>
      <c r="M132" s="770"/>
      <c r="N132" s="770"/>
      <c r="O132" s="771"/>
      <c r="P132" s="771"/>
      <c r="Q132" s="771"/>
      <c r="R132" s="771"/>
      <c r="S132" s="772"/>
      <c r="T132" s="418"/>
      <c r="U132" s="771"/>
      <c r="V132" s="771"/>
      <c r="W132" s="771"/>
      <c r="X132" s="771"/>
      <c r="Y132" s="418"/>
      <c r="Z132" s="771"/>
      <c r="AA132" s="771"/>
      <c r="AB132" s="771"/>
      <c r="AC132" s="773"/>
      <c r="AD132" s="774"/>
      <c r="AE132" s="775"/>
      <c r="AF132" s="776"/>
      <c r="AG132" s="410"/>
      <c r="AH132" s="408"/>
      <c r="AI132" s="409"/>
      <c r="AJ132" s="775"/>
      <c r="AK132" s="410"/>
      <c r="AL132" s="410"/>
      <c r="AM132" s="408"/>
      <c r="AN132" s="409"/>
      <c r="AO132" s="411"/>
      <c r="AP132" s="445"/>
      <c r="AQ132" s="412"/>
      <c r="AR132" s="445"/>
      <c r="AS132" s="788"/>
      <c r="AT132" s="396"/>
      <c r="AU132" s="396"/>
      <c r="AV132" s="396"/>
      <c r="AW132" s="396"/>
      <c r="AX132" s="780"/>
      <c r="AY132" s="793" t="s">
        <v>117</v>
      </c>
      <c r="AZ132" s="781"/>
      <c r="BA132" s="398"/>
      <c r="BB132" s="398"/>
      <c r="BC132" s="398"/>
      <c r="BD132" s="782"/>
      <c r="BE132" s="751"/>
      <c r="BF132" s="752"/>
      <c r="BG132" s="783"/>
      <c r="BH132" s="783"/>
      <c r="BI132" s="783"/>
      <c r="BJ132" s="783"/>
      <c r="BK132" s="783"/>
      <c r="BL132" s="783"/>
      <c r="BM132" s="783"/>
      <c r="BN132" s="783"/>
      <c r="BO132" s="783"/>
      <c r="BP132" s="794"/>
      <c r="BQ132" s="795"/>
      <c r="BR132" s="427"/>
      <c r="BS132" s="428"/>
      <c r="BT132" s="428"/>
      <c r="BU132" s="1924"/>
      <c r="BV132" s="430"/>
      <c r="BW132" s="427"/>
      <c r="BX132" s="428"/>
      <c r="BY132" s="428"/>
      <c r="BZ132" s="433"/>
      <c r="CA132" s="434"/>
      <c r="CB132" s="435"/>
      <c r="CC132" s="436"/>
      <c r="CD132" s="437"/>
      <c r="CE132" s="757"/>
      <c r="CF132" s="758"/>
      <c r="CG132" s="786"/>
      <c r="CH132" s="796"/>
      <c r="CI132" s="760" t="s">
        <v>111</v>
      </c>
      <c r="CJ132" s="715"/>
    </row>
    <row r="133" spans="1:88" ht="93.75" hidden="1" outlineLevel="1">
      <c r="A133" s="395"/>
      <c r="B133" s="767"/>
      <c r="C133" s="767"/>
      <c r="D133" s="768"/>
      <c r="E133" s="768"/>
      <c r="F133" s="767"/>
      <c r="G133" s="769"/>
      <c r="H133" s="399"/>
      <c r="I133" s="399"/>
      <c r="J133" s="399"/>
      <c r="K133" s="788"/>
      <c r="L133" s="399"/>
      <c r="M133" s="770"/>
      <c r="N133" s="770"/>
      <c r="O133" s="771"/>
      <c r="P133" s="771"/>
      <c r="Q133" s="771"/>
      <c r="R133" s="771"/>
      <c r="S133" s="797"/>
      <c r="T133" s="418"/>
      <c r="U133" s="771"/>
      <c r="V133" s="771"/>
      <c r="W133" s="771"/>
      <c r="X133" s="771"/>
      <c r="Y133" s="418"/>
      <c r="Z133" s="771"/>
      <c r="AA133" s="771"/>
      <c r="AB133" s="771"/>
      <c r="AC133" s="773"/>
      <c r="AD133" s="774"/>
      <c r="AE133" s="775"/>
      <c r="AF133" s="776"/>
      <c r="AG133" s="410"/>
      <c r="AH133" s="408"/>
      <c r="AI133" s="409"/>
      <c r="AJ133" s="775"/>
      <c r="AK133" s="410"/>
      <c r="AL133" s="410"/>
      <c r="AM133" s="408"/>
      <c r="AN133" s="409"/>
      <c r="AO133" s="411"/>
      <c r="AP133" s="445"/>
      <c r="AQ133" s="412"/>
      <c r="AR133" s="445"/>
      <c r="AS133" s="788"/>
      <c r="AT133" s="396"/>
      <c r="AU133" s="396"/>
      <c r="AV133" s="396"/>
      <c r="AW133" s="396"/>
      <c r="AX133" s="780"/>
      <c r="AY133" s="793" t="s">
        <v>119</v>
      </c>
      <c r="AZ133" s="781"/>
      <c r="BA133" s="398"/>
      <c r="BB133" s="398"/>
      <c r="BC133" s="398"/>
      <c r="BD133" s="782"/>
      <c r="BE133" s="752"/>
      <c r="BF133" s="752"/>
      <c r="BG133" s="783"/>
      <c r="BH133" s="783"/>
      <c r="BI133" s="783"/>
      <c r="BJ133" s="783"/>
      <c r="BK133" s="783"/>
      <c r="BL133" s="783"/>
      <c r="BM133" s="783"/>
      <c r="BN133" s="783"/>
      <c r="BO133" s="783"/>
      <c r="BP133" s="794"/>
      <c r="BQ133" s="795"/>
      <c r="BR133" s="427"/>
      <c r="BS133" s="428"/>
      <c r="BT133" s="428"/>
      <c r="BU133" s="1924"/>
      <c r="BV133" s="430"/>
      <c r="BW133" s="427"/>
      <c r="BX133" s="428"/>
      <c r="BY133" s="428"/>
      <c r="BZ133" s="433"/>
      <c r="CA133" s="434"/>
      <c r="CB133" s="435"/>
      <c r="CC133" s="436"/>
      <c r="CD133" s="437"/>
      <c r="CE133" s="757"/>
      <c r="CF133" s="758"/>
      <c r="CG133" s="786"/>
      <c r="CH133" s="796"/>
      <c r="CI133" s="760" t="s">
        <v>111</v>
      </c>
      <c r="CJ133" s="715"/>
    </row>
    <row r="134" spans="1:88" ht="93.75" hidden="1" outlineLevel="1">
      <c r="A134" s="395"/>
      <c r="B134" s="767"/>
      <c r="C134" s="767"/>
      <c r="D134" s="768"/>
      <c r="E134" s="768"/>
      <c r="F134" s="767"/>
      <c r="G134" s="769"/>
      <c r="H134" s="399"/>
      <c r="I134" s="399"/>
      <c r="J134" s="399"/>
      <c r="K134" s="788"/>
      <c r="L134" s="399"/>
      <c r="M134" s="770"/>
      <c r="N134" s="770"/>
      <c r="O134" s="771"/>
      <c r="P134" s="771"/>
      <c r="Q134" s="771"/>
      <c r="R134" s="771"/>
      <c r="S134" s="797"/>
      <c r="T134" s="418"/>
      <c r="U134" s="771"/>
      <c r="V134" s="771"/>
      <c r="W134" s="771"/>
      <c r="X134" s="771"/>
      <c r="Y134" s="418"/>
      <c r="Z134" s="771"/>
      <c r="AA134" s="771"/>
      <c r="AB134" s="771"/>
      <c r="AC134" s="773"/>
      <c r="AD134" s="774"/>
      <c r="AE134" s="775"/>
      <c r="AF134" s="776"/>
      <c r="AG134" s="410"/>
      <c r="AH134" s="408"/>
      <c r="AI134" s="409"/>
      <c r="AJ134" s="775"/>
      <c r="AK134" s="410"/>
      <c r="AL134" s="410"/>
      <c r="AM134" s="408"/>
      <c r="AN134" s="409"/>
      <c r="AO134" s="411"/>
      <c r="AP134" s="445"/>
      <c r="AQ134" s="412"/>
      <c r="AR134" s="445"/>
      <c r="AS134" s="788"/>
      <c r="AT134" s="396"/>
      <c r="AU134" s="396"/>
      <c r="AV134" s="396"/>
      <c r="AW134" s="396"/>
      <c r="AX134" s="780"/>
      <c r="AY134" s="793" t="s">
        <v>120</v>
      </c>
      <c r="AZ134" s="781"/>
      <c r="BA134" s="398"/>
      <c r="BB134" s="398"/>
      <c r="BC134" s="398"/>
      <c r="BD134" s="782"/>
      <c r="BE134" s="752"/>
      <c r="BF134" s="752"/>
      <c r="BG134" s="783"/>
      <c r="BH134" s="783"/>
      <c r="BI134" s="783"/>
      <c r="BJ134" s="783"/>
      <c r="BK134" s="783"/>
      <c r="BL134" s="783"/>
      <c r="BM134" s="783"/>
      <c r="BN134" s="783"/>
      <c r="BO134" s="783"/>
      <c r="BP134" s="794"/>
      <c r="BQ134" s="795"/>
      <c r="BR134" s="427"/>
      <c r="BS134" s="428"/>
      <c r="BT134" s="428"/>
      <c r="BU134" s="1924"/>
      <c r="BV134" s="430" t="str">
        <f>IF(AO134&lt;1,"",(AO134))</f>
        <v/>
      </c>
      <c r="BW134" s="431"/>
      <c r="BX134" s="429"/>
      <c r="BY134" s="429"/>
      <c r="BZ134" s="433"/>
      <c r="CA134" s="434"/>
      <c r="CB134" s="435"/>
      <c r="CC134" s="436"/>
      <c r="CD134" s="437"/>
      <c r="CE134" s="757"/>
      <c r="CF134" s="758"/>
      <c r="CG134" s="786"/>
      <c r="CH134" s="796"/>
      <c r="CI134" s="760" t="s">
        <v>111</v>
      </c>
      <c r="CJ134" s="715"/>
    </row>
    <row r="135" spans="1:88" ht="18.75" hidden="1" outlineLevel="1">
      <c r="A135" s="722"/>
      <c r="B135" s="270"/>
      <c r="C135" s="270"/>
      <c r="D135" s="62"/>
      <c r="E135" s="62"/>
      <c r="F135" s="270"/>
      <c r="G135" s="728"/>
      <c r="H135" s="80"/>
      <c r="I135" s="80"/>
      <c r="J135" s="80"/>
      <c r="K135" s="270"/>
      <c r="L135" s="80"/>
      <c r="M135" s="252"/>
      <c r="N135" s="252"/>
      <c r="O135" s="71"/>
      <c r="P135" s="71"/>
      <c r="Q135" s="71"/>
      <c r="R135" s="71"/>
      <c r="S135" s="71"/>
      <c r="T135" s="85"/>
      <c r="U135" s="71"/>
      <c r="V135" s="71"/>
      <c r="W135" s="71"/>
      <c r="X135" s="71"/>
      <c r="Y135" s="85"/>
      <c r="Z135" s="71"/>
      <c r="AA135" s="71"/>
      <c r="AB135" s="71"/>
      <c r="AC135" s="72"/>
      <c r="AD135" s="274"/>
      <c r="AE135" s="319"/>
      <c r="AF135" s="288"/>
      <c r="AG135" s="77"/>
      <c r="AH135" s="74"/>
      <c r="AI135" s="75"/>
      <c r="AJ135" s="319"/>
      <c r="AK135" s="77"/>
      <c r="AL135" s="77"/>
      <c r="AM135" s="74"/>
      <c r="AN135" s="75"/>
      <c r="AO135" s="78"/>
      <c r="AP135" s="289"/>
      <c r="AQ135" s="256"/>
      <c r="AR135" s="289"/>
      <c r="AS135" s="66"/>
      <c r="AT135" s="247"/>
      <c r="AU135" s="247"/>
      <c r="AV135" s="247"/>
      <c r="AW135" s="247"/>
      <c r="AX135" s="387"/>
      <c r="AY135" s="564"/>
      <c r="AZ135" s="84"/>
      <c r="BA135" s="64"/>
      <c r="BB135" s="64"/>
      <c r="BC135" s="64"/>
      <c r="BD135" s="516"/>
      <c r="BE135" s="291"/>
      <c r="BF135" s="291"/>
      <c r="BG135" s="729"/>
      <c r="BH135" s="729"/>
      <c r="BI135" s="729"/>
      <c r="BJ135" s="729"/>
      <c r="BK135" s="729"/>
      <c r="BL135" s="729"/>
      <c r="BM135" s="729"/>
      <c r="BN135" s="729"/>
      <c r="BO135" s="729"/>
      <c r="BP135" s="798"/>
      <c r="BQ135" s="799"/>
      <c r="BR135" s="130"/>
      <c r="BS135" s="131"/>
      <c r="BT135" s="131"/>
      <c r="BU135" s="99"/>
      <c r="BV135" s="99"/>
      <c r="BW135" s="130"/>
      <c r="BX135" s="131"/>
      <c r="BY135" s="131"/>
      <c r="BZ135" s="101"/>
      <c r="CA135" s="102"/>
      <c r="CB135" s="103"/>
      <c r="CC135" s="104"/>
      <c r="CD135" s="105"/>
      <c r="CE135" s="718"/>
      <c r="CF135" s="719"/>
      <c r="CG135" s="800"/>
      <c r="CH135" s="800"/>
      <c r="CI135" s="801"/>
      <c r="CJ135" s="715"/>
    </row>
    <row r="136" spans="1:88" ht="18.75" hidden="1" outlineLevel="1" collapsed="1">
      <c r="A136" s="148" t="s">
        <v>86</v>
      </c>
      <c r="B136" s="149">
        <f>COUNTIF(A122:A135,$B$1)</f>
        <v>0</v>
      </c>
      <c r="C136" s="150"/>
      <c r="D136" s="151"/>
      <c r="E136" s="151"/>
      <c r="F136" s="151"/>
      <c r="G136" s="152">
        <f>SUMIF(A122:A135,$B$1,G122:G135)</f>
        <v>0</v>
      </c>
      <c r="H136" s="152">
        <f>SUMIF(A122:A135,$B$1,H122:H135)</f>
        <v>0</v>
      </c>
      <c r="I136" s="152">
        <f>SUM(I122:I135)</f>
        <v>0</v>
      </c>
      <c r="J136" s="152"/>
      <c r="K136" s="152"/>
      <c r="L136" s="153">
        <f>SUMIF(A122:A135,$B$1,L122:L135)</f>
        <v>0</v>
      </c>
      <c r="M136" s="152"/>
      <c r="N136" s="152"/>
      <c r="O136" s="152"/>
      <c r="P136" s="152"/>
      <c r="Q136" s="152"/>
      <c r="R136" s="152"/>
      <c r="S136" s="152"/>
      <c r="T136" s="152"/>
      <c r="U136" s="152"/>
      <c r="V136" s="151"/>
      <c r="W136" s="151"/>
      <c r="X136" s="151"/>
      <c r="Y136" s="152"/>
      <c r="Z136" s="152"/>
      <c r="AA136" s="151"/>
      <c r="AB136" s="151"/>
      <c r="AC136" s="151"/>
      <c r="AD136" s="151"/>
      <c r="AE136" s="154"/>
      <c r="AF136" s="155"/>
      <c r="AG136" s="156"/>
      <c r="AH136" s="152"/>
      <c r="AI136" s="157"/>
      <c r="AJ136" s="730"/>
      <c r="AK136" s="156"/>
      <c r="AL136" s="156"/>
      <c r="AM136" s="152"/>
      <c r="AN136" s="157"/>
      <c r="AO136" s="297"/>
      <c r="AP136" s="152"/>
      <c r="AQ136" s="152"/>
      <c r="AR136" s="161"/>
      <c r="AS136" s="151"/>
      <c r="AT136" s="151"/>
      <c r="AU136" s="151"/>
      <c r="AV136" s="151"/>
      <c r="AW136" s="151"/>
      <c r="AX136" s="151"/>
      <c r="AY136" s="151"/>
      <c r="AZ136" s="163">
        <f>SUM(AZ122:AZ135)</f>
        <v>0</v>
      </c>
      <c r="BA136" s="163">
        <f>SUM(BA122:BA135)</f>
        <v>0</v>
      </c>
      <c r="BB136" s="163">
        <f>SUM(BB122:BB135)</f>
        <v>0</v>
      </c>
      <c r="BC136" s="221" t="str">
        <f>IF(COUNT(BC122:BC135)=0,"-",AVERAGE(BC122:BC135))</f>
        <v>-</v>
      </c>
      <c r="BD136" s="165"/>
      <c r="BE136" s="340"/>
      <c r="BF136" s="340"/>
      <c r="BG136" s="341"/>
      <c r="BH136" s="341"/>
      <c r="BI136" s="341"/>
      <c r="BJ136" s="341"/>
      <c r="BK136" s="341"/>
      <c r="BL136" s="341"/>
      <c r="BM136" s="341"/>
      <c r="BN136" s="341"/>
      <c r="BO136" s="341"/>
      <c r="BP136" s="176"/>
      <c r="BQ136" s="176"/>
      <c r="BR136" s="708"/>
      <c r="BS136" s="709"/>
      <c r="BT136" s="710"/>
      <c r="BU136" s="1931"/>
      <c r="BV136" s="1915"/>
      <c r="BW136" s="708"/>
      <c r="BX136" s="802"/>
      <c r="BY136" s="803"/>
      <c r="BZ136" s="171"/>
      <c r="CA136" s="548"/>
      <c r="CB136" s="173">
        <f>AO136</f>
        <v>0</v>
      </c>
      <c r="CC136" s="173">
        <f>COUNTIF(CC122:CC135,"=0")</f>
        <v>1</v>
      </c>
      <c r="CD136" s="174">
        <f>SUM(COUNTIF(CC122:CC135,"&lt;0"),COUNTIF(CC122:CC135,"&gt;0"))</f>
        <v>0</v>
      </c>
      <c r="CE136" s="686"/>
      <c r="CF136" s="301"/>
      <c r="CG136" s="301"/>
      <c r="CH136" s="302"/>
      <c r="CI136" s="731"/>
      <c r="CJ136" s="715"/>
    </row>
    <row r="137" spans="1:88" ht="18.75" hidden="1" outlineLevel="1">
      <c r="A137" s="179" t="s">
        <v>87</v>
      </c>
      <c r="B137" s="348">
        <f>COUNT(A122:A135)</f>
        <v>0</v>
      </c>
      <c r="C137" s="181"/>
      <c r="D137" s="182"/>
      <c r="E137" s="182"/>
      <c r="F137" s="182"/>
      <c r="G137" s="184">
        <f>SUM(G122:G135)</f>
        <v>0</v>
      </c>
      <c r="H137" s="184">
        <f>SUM(H122:H135)</f>
        <v>0</v>
      </c>
      <c r="I137" s="184"/>
      <c r="J137" s="184">
        <f>SUM(J122:J135)</f>
        <v>0</v>
      </c>
      <c r="K137" s="184"/>
      <c r="L137" s="184"/>
      <c r="M137" s="184"/>
      <c r="N137" s="184"/>
      <c r="O137" s="184"/>
      <c r="P137" s="184"/>
      <c r="Q137" s="184"/>
      <c r="R137" s="184"/>
      <c r="S137" s="185"/>
      <c r="T137" s="185">
        <f>SUMIF(AI122:AI135,"&gt;0",T122:T135)-SUMIF(AH122:AH135,"&gt;0",T122:T135)</f>
        <v>0</v>
      </c>
      <c r="U137" s="185"/>
      <c r="V137" s="182"/>
      <c r="W137" s="182"/>
      <c r="X137" s="182"/>
      <c r="Y137" s="185">
        <f>SUMIF(AO122:AO135,"&gt;0",Y122:Y135)-SUMIF(AN122:AN135,"&gt;0",Y122:Y135)</f>
        <v>0</v>
      </c>
      <c r="Z137" s="185"/>
      <c r="AA137" s="182"/>
      <c r="AB137" s="182"/>
      <c r="AC137" s="182"/>
      <c r="AD137" s="182"/>
      <c r="AE137" s="186"/>
      <c r="AF137" s="186"/>
      <c r="AG137" s="186"/>
      <c r="AH137" s="184">
        <f>COUNTA(AI122:AI135)</f>
        <v>0</v>
      </c>
      <c r="AI137" s="184">
        <f>SUM(AI122:AI135)</f>
        <v>0</v>
      </c>
      <c r="AJ137" s="186"/>
      <c r="AK137" s="186"/>
      <c r="AL137" s="186"/>
      <c r="AM137" s="184"/>
      <c r="AN137" s="184"/>
      <c r="AO137" s="182"/>
      <c r="AP137" s="182"/>
      <c r="AQ137" s="182"/>
      <c r="AR137" s="187"/>
      <c r="AS137" s="182"/>
      <c r="AT137" s="182"/>
      <c r="AU137" s="182"/>
      <c r="AV137" s="182"/>
      <c r="AW137" s="182"/>
      <c r="AX137" s="182"/>
      <c r="AY137" s="182"/>
      <c r="AZ137" s="182"/>
      <c r="BA137" s="182"/>
      <c r="BB137" s="182"/>
      <c r="BC137" s="182"/>
      <c r="BD137" s="188">
        <f>SUM(BD122:BD135)</f>
        <v>0</v>
      </c>
      <c r="BE137" s="535"/>
      <c r="BF137" s="535"/>
      <c r="BG137" s="476"/>
      <c r="BH137" s="476"/>
      <c r="BI137" s="476"/>
      <c r="BJ137" s="476"/>
      <c r="BK137" s="476"/>
      <c r="BL137" s="476"/>
      <c r="BM137" s="476"/>
      <c r="BN137" s="476"/>
      <c r="BO137" s="476"/>
      <c r="BP137" s="308"/>
      <c r="BQ137" s="714"/>
      <c r="BR137" s="353"/>
      <c r="BS137" s="355"/>
      <c r="BT137" s="355"/>
      <c r="BU137" s="1900"/>
      <c r="BV137" s="1603"/>
      <c r="BW137" s="192"/>
      <c r="BX137" s="193"/>
      <c r="BY137" s="193"/>
      <c r="BZ137" s="195"/>
      <c r="CA137" s="196"/>
      <c r="CB137" s="197" t="e">
        <f>SUM(CB122:CB135)</f>
        <v>#VALUE!</v>
      </c>
      <c r="CC137" s="197">
        <f>SUMIF(CC122:CC135,"=0",CD122:CD135)</f>
        <v>0</v>
      </c>
      <c r="CD137" s="198" t="e">
        <f>SUMIF(CC122:CC135,"&lt;&gt;0",CD122:CD135)</f>
        <v>#N/A</v>
      </c>
      <c r="CE137" s="199"/>
      <c r="CF137" s="200"/>
      <c r="CG137" s="200"/>
      <c r="CH137" s="201"/>
      <c r="CI137" s="744"/>
      <c r="CJ137" s="715"/>
    </row>
    <row r="138" spans="1:88" ht="18.75" hidden="1" outlineLevel="1">
      <c r="A138" s="804"/>
      <c r="B138" s="805"/>
      <c r="C138" s="805"/>
      <c r="D138" s="805"/>
      <c r="E138" s="805"/>
      <c r="F138" s="806"/>
      <c r="G138" s="805"/>
      <c r="H138" s="805"/>
      <c r="I138" s="805"/>
      <c r="J138" s="805"/>
      <c r="K138" s="805"/>
      <c r="L138" s="805"/>
      <c r="M138" s="805"/>
      <c r="N138" s="805"/>
      <c r="O138" s="805"/>
      <c r="P138" s="805"/>
      <c r="Q138" s="805"/>
      <c r="R138" s="805"/>
      <c r="S138" s="805"/>
      <c r="T138" s="805"/>
      <c r="U138" s="805"/>
      <c r="V138" s="805"/>
      <c r="W138" s="805"/>
      <c r="X138" s="805"/>
      <c r="Y138" s="805"/>
      <c r="Z138" s="805"/>
      <c r="AA138" s="805"/>
      <c r="AB138" s="805"/>
      <c r="AC138" s="805"/>
      <c r="AD138" s="806"/>
      <c r="AE138" s="807"/>
      <c r="AF138" s="808"/>
      <c r="AG138" s="808"/>
      <c r="AH138" s="809"/>
      <c r="AI138" s="809"/>
      <c r="AJ138" s="810"/>
      <c r="AK138" s="808"/>
      <c r="AL138" s="808"/>
      <c r="AM138" s="809"/>
      <c r="AN138" s="809"/>
      <c r="AO138" s="805"/>
      <c r="AP138" s="805"/>
      <c r="AQ138" s="805"/>
      <c r="AR138" s="805"/>
      <c r="AS138" s="805"/>
      <c r="AT138" s="805"/>
      <c r="AU138" s="805"/>
      <c r="AV138" s="805"/>
      <c r="AW138" s="805"/>
      <c r="AX138" s="805"/>
      <c r="AY138" s="805"/>
      <c r="AZ138" s="805"/>
      <c r="BA138" s="805"/>
      <c r="BB138" s="805"/>
      <c r="BC138" s="805"/>
      <c r="BD138" s="811"/>
      <c r="BE138" s="812"/>
      <c r="BF138" s="813"/>
      <c r="BG138" s="813"/>
      <c r="BH138" s="813"/>
      <c r="BI138" s="813"/>
      <c r="BJ138" s="813"/>
      <c r="BK138" s="813"/>
      <c r="BL138" s="813"/>
      <c r="BM138" s="813"/>
      <c r="BN138" s="813"/>
      <c r="BO138" s="813"/>
      <c r="BP138"/>
      <c r="BQ138"/>
      <c r="BR138" s="130"/>
      <c r="BS138" s="131"/>
      <c r="BT138" s="131"/>
      <c r="BU138" s="99"/>
      <c r="BV138" s="99"/>
      <c r="BW138" s="130"/>
      <c r="BX138" s="131"/>
      <c r="BY138" s="131"/>
      <c r="BZ138" s="52"/>
      <c r="CA138" s="53"/>
      <c r="CB138" s="53"/>
      <c r="CC138" s="53"/>
      <c r="CD138" s="206"/>
      <c r="CE138" s="53"/>
      <c r="CF138" s="53"/>
      <c r="CG138" s="53"/>
      <c r="CH138" s="53"/>
      <c r="CI138" s="735"/>
      <c r="CJ138" s="715"/>
    </row>
    <row r="139" spans="1:88" ht="23.25" hidden="1" outlineLevel="1">
      <c r="A139" s="2143" t="s">
        <v>121</v>
      </c>
      <c r="B139" s="2143"/>
      <c r="C139" s="2143"/>
      <c r="D139" s="2143"/>
      <c r="E139" s="2143"/>
      <c r="F139" s="2143"/>
      <c r="G139" s="362"/>
      <c r="H139" s="362"/>
      <c r="I139" s="362"/>
      <c r="J139" s="362"/>
      <c r="K139" s="362"/>
      <c r="L139" s="362"/>
      <c r="M139" s="362"/>
      <c r="N139" s="362"/>
      <c r="O139" s="362"/>
      <c r="P139" s="362"/>
      <c r="Q139" s="362"/>
      <c r="R139" s="362"/>
      <c r="S139" s="362"/>
      <c r="T139" s="362"/>
      <c r="U139" s="362"/>
      <c r="V139" s="362"/>
      <c r="W139" s="362"/>
      <c r="X139" s="362"/>
      <c r="Y139" s="362"/>
      <c r="Z139" s="362"/>
      <c r="AA139" s="362"/>
      <c r="AB139" s="362"/>
      <c r="AC139" s="362"/>
      <c r="AD139" s="814"/>
      <c r="AE139" s="814"/>
      <c r="AF139" s="362"/>
      <c r="AG139" s="362"/>
      <c r="AH139" s="362"/>
      <c r="AI139" s="362"/>
      <c r="AJ139" s="362"/>
      <c r="AK139" s="362"/>
      <c r="AL139" s="362"/>
      <c r="AM139" s="362"/>
      <c r="AN139" s="362"/>
      <c r="AO139" s="362"/>
      <c r="AP139" s="362"/>
      <c r="AQ139" s="362"/>
      <c r="AR139" s="362"/>
      <c r="AS139" s="362"/>
      <c r="AT139" s="362"/>
      <c r="AU139" s="362"/>
      <c r="AV139" s="362"/>
      <c r="AW139" s="362"/>
      <c r="AX139" s="362"/>
      <c r="AY139" s="362"/>
      <c r="AZ139" s="362"/>
      <c r="BA139" s="362"/>
      <c r="BB139" s="362"/>
      <c r="BC139" s="362"/>
      <c r="BD139" s="363"/>
      <c r="BE139" s="363"/>
      <c r="BF139" s="364"/>
      <c r="BG139" s="364"/>
      <c r="BH139" s="364"/>
      <c r="BI139" s="364"/>
      <c r="BJ139" s="364"/>
      <c r="BK139" s="364"/>
      <c r="BL139" s="364"/>
      <c r="BM139" s="364"/>
      <c r="BN139" s="364"/>
      <c r="BO139" s="364"/>
      <c r="BP139" s="365"/>
      <c r="BQ139" s="365"/>
      <c r="BR139" s="96"/>
      <c r="BS139" s="97"/>
      <c r="BT139" s="97"/>
      <c r="BU139" s="100"/>
      <c r="BV139" s="100"/>
      <c r="BW139" s="96"/>
      <c r="BX139" s="97"/>
      <c r="BY139" s="100"/>
      <c r="BZ139" s="52"/>
      <c r="CA139" s="53"/>
      <c r="CB139" s="53"/>
      <c r="CC139" s="53"/>
      <c r="CD139" s="206"/>
      <c r="CE139" s="369"/>
      <c r="CF139" s="365"/>
      <c r="CG139" s="365"/>
      <c r="CH139" s="244"/>
      <c r="CI139" s="52"/>
      <c r="CJ139" s="715"/>
    </row>
    <row r="140" spans="1:88" ht="18.75" hidden="1" outlineLevel="1">
      <c r="A140" s="59"/>
      <c r="B140" s="270"/>
      <c r="C140" s="270"/>
      <c r="D140" s="815"/>
      <c r="E140" s="62"/>
      <c r="F140" s="634"/>
      <c r="G140" s="816"/>
      <c r="H140" s="816"/>
      <c r="I140" s="816"/>
      <c r="J140" s="816"/>
      <c r="K140" s="66"/>
      <c r="L140" s="80"/>
      <c r="M140" s="252"/>
      <c r="N140" s="252"/>
      <c r="O140" s="71"/>
      <c r="P140" s="71"/>
      <c r="Q140" s="71"/>
      <c r="R140" s="71"/>
      <c r="S140" s="273"/>
      <c r="T140" s="85"/>
      <c r="U140" s="71"/>
      <c r="V140" s="71"/>
      <c r="W140" s="71"/>
      <c r="X140" s="71"/>
      <c r="Y140" s="63"/>
      <c r="Z140" s="71"/>
      <c r="AA140" s="817"/>
      <c r="AB140" s="71"/>
      <c r="AC140" s="72"/>
      <c r="AD140" s="274"/>
      <c r="AE140" s="135"/>
      <c r="AF140" s="135"/>
      <c r="AG140" s="135"/>
      <c r="AH140" s="74"/>
      <c r="AI140" s="75"/>
      <c r="AJ140" s="818"/>
      <c r="AK140" s="319"/>
      <c r="AL140" s="319"/>
      <c r="AM140" s="74"/>
      <c r="AN140" s="75"/>
      <c r="AO140" s="78"/>
      <c r="AP140" s="289"/>
      <c r="AQ140" s="256"/>
      <c r="AR140" s="289"/>
      <c r="AS140" s="66"/>
      <c r="AT140" s="247"/>
      <c r="AU140" s="247"/>
      <c r="AV140" s="247"/>
      <c r="AW140" s="247"/>
      <c r="AX140" s="387"/>
      <c r="AY140" s="819"/>
      <c r="AZ140" s="311"/>
      <c r="BA140" s="64"/>
      <c r="BB140" s="64"/>
      <c r="BC140" s="64"/>
      <c r="BD140" s="516"/>
      <c r="BE140" s="716"/>
      <c r="BF140" s="716"/>
      <c r="BG140" s="717"/>
      <c r="BH140" s="717"/>
      <c r="BI140" s="717"/>
      <c r="BJ140" s="717"/>
      <c r="BK140" s="717"/>
      <c r="BL140" s="717"/>
      <c r="BM140" s="717"/>
      <c r="BN140" s="717" t="str">
        <f>IF(BH140=0,"-",BH140-AP140)</f>
        <v>-</v>
      </c>
      <c r="BO140" s="717" t="str">
        <f>IF(BI140=0,"-",BI140-AQ140)</f>
        <v>-</v>
      </c>
      <c r="BP140" s="91" t="str">
        <f>IF(BN140="-","-",AZ140+BN140)</f>
        <v>-</v>
      </c>
      <c r="BQ140" s="749" t="str">
        <f>IF(BN140="-","-",(($B$2-AO140+1)*(AZ140+BN140)))</f>
        <v>-</v>
      </c>
      <c r="BR140" s="315"/>
      <c r="BS140" s="214"/>
      <c r="BT140" s="131"/>
      <c r="BU140" s="1923"/>
      <c r="BV140" s="99" t="str">
        <f>IF(AO140&lt;1,"",(AO140))</f>
        <v/>
      </c>
      <c r="BW140" s="284"/>
      <c r="BX140" s="214"/>
      <c r="BY140" s="214"/>
      <c r="BZ140" s="101"/>
      <c r="CA140" s="102"/>
      <c r="CB140" s="103"/>
      <c r="CC140" s="104"/>
      <c r="CD140" s="105"/>
      <c r="CE140" s="718"/>
      <c r="CF140" s="719"/>
      <c r="CG140" s="800"/>
      <c r="CH140" s="820"/>
      <c r="CI140" s="721" t="s">
        <v>111</v>
      </c>
      <c r="CJ140" s="715"/>
    </row>
    <row r="141" spans="1:88" ht="112.5" hidden="1" outlineLevel="1">
      <c r="A141" s="821"/>
      <c r="B141" s="767"/>
      <c r="C141" s="767"/>
      <c r="D141" s="768"/>
      <c r="E141" s="768"/>
      <c r="F141" s="767"/>
      <c r="G141" s="399"/>
      <c r="H141" s="399"/>
      <c r="I141" s="399"/>
      <c r="J141" s="399"/>
      <c r="K141" s="788"/>
      <c r="L141" s="399"/>
      <c r="M141" s="770"/>
      <c r="N141" s="770"/>
      <c r="O141" s="771"/>
      <c r="P141" s="771"/>
      <c r="Q141" s="771"/>
      <c r="R141" s="771"/>
      <c r="S141" s="772"/>
      <c r="T141" s="418"/>
      <c r="U141" s="771"/>
      <c r="V141" s="771"/>
      <c r="W141" s="771"/>
      <c r="X141" s="771"/>
      <c r="Y141" s="418"/>
      <c r="Z141" s="771"/>
      <c r="AA141" s="771"/>
      <c r="AB141" s="771"/>
      <c r="AC141" s="773"/>
      <c r="AD141" s="774"/>
      <c r="AE141" s="822"/>
      <c r="AF141" s="822"/>
      <c r="AG141" s="822"/>
      <c r="AH141" s="408"/>
      <c r="AI141" s="409"/>
      <c r="AJ141" s="775"/>
      <c r="AK141" s="410"/>
      <c r="AL141" s="410"/>
      <c r="AM141" s="408"/>
      <c r="AN141" s="409"/>
      <c r="AO141" s="411"/>
      <c r="AP141" s="445"/>
      <c r="AQ141" s="412"/>
      <c r="AR141" s="445"/>
      <c r="AS141" s="788"/>
      <c r="AT141" s="396"/>
      <c r="AU141" s="396"/>
      <c r="AV141" s="396"/>
      <c r="AW141" s="396"/>
      <c r="AX141" s="780"/>
      <c r="AY141" s="793" t="s">
        <v>122</v>
      </c>
      <c r="AZ141" s="790"/>
      <c r="BA141" s="791"/>
      <c r="BB141" s="791"/>
      <c r="BC141" s="791"/>
      <c r="BD141" s="419"/>
      <c r="BE141" s="823"/>
      <c r="BF141" s="752"/>
      <c r="BG141" s="783"/>
      <c r="BH141" s="783"/>
      <c r="BI141" s="783"/>
      <c r="BJ141" s="783"/>
      <c r="BK141" s="783"/>
      <c r="BL141" s="783"/>
      <c r="BM141" s="783"/>
      <c r="BN141" s="783"/>
      <c r="BO141" s="752"/>
      <c r="BP141" s="824"/>
      <c r="BQ141" s="825"/>
      <c r="BR141" s="427"/>
      <c r="BS141" s="428"/>
      <c r="BT141" s="428"/>
      <c r="BU141" s="1924"/>
      <c r="BV141" s="430"/>
      <c r="BW141" s="431"/>
      <c r="BX141" s="429"/>
      <c r="BY141" s="429"/>
      <c r="BZ141" s="433"/>
      <c r="CA141" s="434"/>
      <c r="CB141" s="435"/>
      <c r="CC141" s="436"/>
      <c r="CD141" s="437"/>
      <c r="CE141" s="757"/>
      <c r="CF141" s="758"/>
      <c r="CG141" s="826"/>
      <c r="CH141" s="796"/>
      <c r="CI141" s="760" t="s">
        <v>111</v>
      </c>
      <c r="CJ141" s="715"/>
    </row>
    <row r="142" spans="1:88" ht="18.75" hidden="1" outlineLevel="1">
      <c r="A142" s="827"/>
      <c r="B142" s="767"/>
      <c r="C142" s="767"/>
      <c r="D142" s="768"/>
      <c r="E142" s="768"/>
      <c r="F142" s="396"/>
      <c r="G142" s="399"/>
      <c r="H142" s="399"/>
      <c r="I142" s="399"/>
      <c r="J142" s="399"/>
      <c r="K142" s="788"/>
      <c r="L142" s="399"/>
      <c r="M142" s="770"/>
      <c r="N142" s="770"/>
      <c r="O142" s="771"/>
      <c r="P142" s="771"/>
      <c r="Q142" s="771"/>
      <c r="R142" s="771"/>
      <c r="S142" s="772"/>
      <c r="T142" s="418"/>
      <c r="U142" s="771"/>
      <c r="V142" s="771"/>
      <c r="W142" s="771"/>
      <c r="X142" s="771"/>
      <c r="Y142" s="418"/>
      <c r="Z142" s="771"/>
      <c r="AA142" s="771"/>
      <c r="AB142" s="771"/>
      <c r="AC142" s="773"/>
      <c r="AD142" s="774"/>
      <c r="AE142" s="822"/>
      <c r="AF142" s="822"/>
      <c r="AG142" s="822"/>
      <c r="AH142" s="413"/>
      <c r="AI142" s="777"/>
      <c r="AJ142" s="775"/>
      <c r="AK142" s="776"/>
      <c r="AL142" s="776"/>
      <c r="AM142" s="413"/>
      <c r="AN142" s="777"/>
      <c r="AO142" s="778"/>
      <c r="AP142" s="413"/>
      <c r="AQ142" s="779"/>
      <c r="AR142" s="413"/>
      <c r="AS142" s="399"/>
      <c r="AT142" s="396"/>
      <c r="AU142" s="396"/>
      <c r="AV142" s="396"/>
      <c r="AW142" s="446"/>
      <c r="AX142" s="780"/>
      <c r="AY142" s="793" t="s">
        <v>123</v>
      </c>
      <c r="AZ142" s="790"/>
      <c r="BA142" s="791"/>
      <c r="BB142" s="791"/>
      <c r="BC142" s="791"/>
      <c r="BD142" s="419"/>
      <c r="BE142" s="792"/>
      <c r="BF142" s="766"/>
      <c r="BG142" s="755"/>
      <c r="BH142" s="423"/>
      <c r="BI142" s="754"/>
      <c r="BJ142" s="423"/>
      <c r="BK142" s="755"/>
      <c r="BL142" s="755"/>
      <c r="BM142" s="755"/>
      <c r="BN142" s="754"/>
      <c r="BO142" s="763"/>
      <c r="BP142" s="763"/>
      <c r="BQ142" s="764"/>
      <c r="BR142" s="427"/>
      <c r="BS142" s="428"/>
      <c r="BT142" s="428"/>
      <c r="BU142" s="430"/>
      <c r="BV142" s="430" t="str">
        <f>IF(AO142&lt;1,"",(AO142))</f>
        <v/>
      </c>
      <c r="BW142" s="427"/>
      <c r="BX142" s="428"/>
      <c r="BY142" s="428"/>
      <c r="BZ142" s="433"/>
      <c r="CA142" s="434"/>
      <c r="CB142" s="435"/>
      <c r="CC142" s="436"/>
      <c r="CD142" s="437"/>
      <c r="CE142" s="757"/>
      <c r="CF142" s="758"/>
      <c r="CG142" s="758"/>
      <c r="CH142" s="759"/>
      <c r="CI142" s="760" t="s">
        <v>111</v>
      </c>
      <c r="CJ142" s="715"/>
    </row>
    <row r="143" spans="1:88" ht="37.5" hidden="1" outlineLevel="1">
      <c r="A143" s="827"/>
      <c r="B143" s="767"/>
      <c r="C143" s="767"/>
      <c r="D143" s="768"/>
      <c r="E143" s="768"/>
      <c r="F143" s="396"/>
      <c r="G143" s="399"/>
      <c r="H143" s="399"/>
      <c r="I143" s="399"/>
      <c r="J143" s="399"/>
      <c r="K143" s="788"/>
      <c r="L143" s="399"/>
      <c r="M143" s="770"/>
      <c r="N143" s="770"/>
      <c r="O143" s="771"/>
      <c r="P143" s="771"/>
      <c r="Q143" s="771"/>
      <c r="R143" s="771"/>
      <c r="S143" s="772"/>
      <c r="T143" s="418"/>
      <c r="U143" s="771"/>
      <c r="V143" s="771"/>
      <c r="W143" s="771"/>
      <c r="X143" s="771"/>
      <c r="Y143" s="418"/>
      <c r="Z143" s="771"/>
      <c r="AA143" s="771"/>
      <c r="AB143" s="771"/>
      <c r="AC143" s="773"/>
      <c r="AD143" s="774"/>
      <c r="AE143" s="822"/>
      <c r="AF143" s="822"/>
      <c r="AG143" s="822"/>
      <c r="AH143" s="413"/>
      <c r="AI143" s="777"/>
      <c r="AJ143" s="775"/>
      <c r="AK143" s="776"/>
      <c r="AL143" s="776"/>
      <c r="AM143" s="413"/>
      <c r="AN143" s="777"/>
      <c r="AO143" s="778"/>
      <c r="AP143" s="413"/>
      <c r="AQ143" s="779"/>
      <c r="AR143" s="413"/>
      <c r="AS143" s="399"/>
      <c r="AT143" s="396"/>
      <c r="AU143" s="396"/>
      <c r="AV143" s="396"/>
      <c r="AW143" s="446"/>
      <c r="AX143" s="780"/>
      <c r="AY143" s="793" t="s">
        <v>124</v>
      </c>
      <c r="AZ143" s="790"/>
      <c r="BA143" s="791"/>
      <c r="BB143" s="791"/>
      <c r="BC143" s="791"/>
      <c r="BD143" s="419"/>
      <c r="BE143" s="792"/>
      <c r="BF143" s="766"/>
      <c r="BG143" s="828"/>
      <c r="BH143" s="423"/>
      <c r="BI143" s="754"/>
      <c r="BJ143" s="423"/>
      <c r="BK143" s="755"/>
      <c r="BL143" s="755"/>
      <c r="BM143" s="755"/>
      <c r="BN143" s="754"/>
      <c r="BO143" s="763"/>
      <c r="BP143" s="763"/>
      <c r="BQ143" s="764"/>
      <c r="BR143" s="427"/>
      <c r="BS143" s="428"/>
      <c r="BT143" s="428"/>
      <c r="BU143" s="430"/>
      <c r="BV143" s="430" t="str">
        <f>IF(AO143&lt;1,"",(AO143))</f>
        <v/>
      </c>
      <c r="BW143" s="427"/>
      <c r="BX143" s="428"/>
      <c r="BY143" s="428"/>
      <c r="BZ143" s="433"/>
      <c r="CA143" s="434"/>
      <c r="CB143" s="435"/>
      <c r="CC143" s="436"/>
      <c r="CD143" s="437"/>
      <c r="CE143" s="757"/>
      <c r="CF143" s="758"/>
      <c r="CG143" s="758"/>
      <c r="CH143" s="759"/>
      <c r="CI143" s="760" t="s">
        <v>111</v>
      </c>
      <c r="CJ143" s="715"/>
    </row>
    <row r="144" spans="1:88" ht="18.75" hidden="1" outlineLevel="1">
      <c r="A144" s="829"/>
      <c r="B144" s="247"/>
      <c r="C144" s="247"/>
      <c r="D144" s="248"/>
      <c r="E144" s="248"/>
      <c r="F144" s="247"/>
      <c r="G144" s="80"/>
      <c r="H144" s="80"/>
      <c r="I144" s="80"/>
      <c r="J144" s="80"/>
      <c r="K144" s="271"/>
      <c r="L144" s="80"/>
      <c r="M144" s="68"/>
      <c r="N144" s="68"/>
      <c r="O144" s="830"/>
      <c r="P144" s="70"/>
      <c r="Q144" s="70"/>
      <c r="R144" s="70"/>
      <c r="S144" s="249"/>
      <c r="T144" s="250"/>
      <c r="U144" s="70"/>
      <c r="V144" s="70"/>
      <c r="W144" s="70"/>
      <c r="X144" s="70"/>
      <c r="Y144" s="250"/>
      <c r="Z144" s="70"/>
      <c r="AA144" s="70"/>
      <c r="AB144" s="70"/>
      <c r="AC144" s="251"/>
      <c r="AD144" s="274"/>
      <c r="AE144" s="135"/>
      <c r="AF144" s="135"/>
      <c r="AG144" s="135"/>
      <c r="AH144" s="81"/>
      <c r="AI144" s="324"/>
      <c r="AJ144" s="319"/>
      <c r="AK144" s="288"/>
      <c r="AL144" s="288"/>
      <c r="AM144" s="81"/>
      <c r="AN144" s="324"/>
      <c r="AO144" s="542"/>
      <c r="AP144" s="81"/>
      <c r="AQ144" s="543"/>
      <c r="AR144" s="81"/>
      <c r="AS144" s="80"/>
      <c r="AT144" s="247"/>
      <c r="AU144" s="247"/>
      <c r="AV144" s="247"/>
      <c r="AW144" s="317"/>
      <c r="AX144" s="387"/>
      <c r="AY144" s="514"/>
      <c r="AZ144" s="84"/>
      <c r="BA144" s="64"/>
      <c r="BB144" s="64"/>
      <c r="BC144" s="64"/>
      <c r="BD144" s="516"/>
      <c r="BE144" s="455"/>
      <c r="BF144" s="703"/>
      <c r="BG144" s="513"/>
      <c r="BH144" s="93"/>
      <c r="BI144" s="91"/>
      <c r="BJ144" s="93"/>
      <c r="BK144" s="748"/>
      <c r="BL144" s="748"/>
      <c r="BM144" s="748"/>
      <c r="BN144" s="91"/>
      <c r="BO144" s="94"/>
      <c r="BP144" s="94"/>
      <c r="BQ144" s="95"/>
      <c r="BR144" s="130"/>
      <c r="BS144" s="131"/>
      <c r="BT144" s="131"/>
      <c r="BU144" s="99"/>
      <c r="BV144" s="99"/>
      <c r="BW144" s="130"/>
      <c r="BX144" s="131"/>
      <c r="BY144" s="131"/>
      <c r="BZ144" s="101"/>
      <c r="CA144" s="102"/>
      <c r="CB144" s="103"/>
      <c r="CC144" s="104"/>
      <c r="CD144" s="105"/>
      <c r="CE144" s="718"/>
      <c r="CF144" s="719"/>
      <c r="CG144" s="719"/>
      <c r="CH144" s="720"/>
      <c r="CI144" s="721" t="s">
        <v>111</v>
      </c>
      <c r="CJ144" s="715"/>
    </row>
    <row r="145" spans="1:89" ht="18.75" hidden="1" outlineLevel="1">
      <c r="A145" s="831"/>
      <c r="B145" s="247"/>
      <c r="C145" s="247"/>
      <c r="D145" s="248"/>
      <c r="E145" s="248"/>
      <c r="F145" s="247"/>
      <c r="G145" s="832"/>
      <c r="H145" s="80"/>
      <c r="I145" s="80"/>
      <c r="J145" s="80"/>
      <c r="K145" s="271"/>
      <c r="L145" s="80"/>
      <c r="M145" s="68"/>
      <c r="N145" s="68"/>
      <c r="O145" s="70"/>
      <c r="P145" s="70"/>
      <c r="Q145" s="70"/>
      <c r="R145" s="70"/>
      <c r="S145" s="249"/>
      <c r="T145" s="250"/>
      <c r="U145" s="70"/>
      <c r="V145" s="70"/>
      <c r="W145" s="70"/>
      <c r="X145" s="70"/>
      <c r="Y145" s="250"/>
      <c r="Z145" s="70"/>
      <c r="AA145" s="70"/>
      <c r="AB145" s="70"/>
      <c r="AC145" s="251"/>
      <c r="AD145" s="274"/>
      <c r="AE145" s="135"/>
      <c r="AF145" s="135"/>
      <c r="AG145" s="135"/>
      <c r="AH145" s="81"/>
      <c r="AI145" s="324"/>
      <c r="AJ145" s="319"/>
      <c r="AK145" s="288"/>
      <c r="AL145" s="288"/>
      <c r="AM145" s="81"/>
      <c r="AN145" s="324"/>
      <c r="AO145" s="542"/>
      <c r="AP145" s="81"/>
      <c r="AQ145" s="543"/>
      <c r="AR145" s="81"/>
      <c r="AS145" s="80"/>
      <c r="AT145" s="247"/>
      <c r="AU145" s="247"/>
      <c r="AV145" s="247"/>
      <c r="AW145" s="317"/>
      <c r="AX145" s="387"/>
      <c r="AY145" s="514"/>
      <c r="AZ145" s="84"/>
      <c r="BA145" s="64"/>
      <c r="BB145" s="64"/>
      <c r="BC145" s="64"/>
      <c r="BD145" s="516"/>
      <c r="BE145" s="455"/>
      <c r="BF145" s="703"/>
      <c r="BG145" s="703"/>
      <c r="BH145" s="93"/>
      <c r="BI145" s="91"/>
      <c r="BJ145" s="93"/>
      <c r="BK145" s="748"/>
      <c r="BL145" s="748"/>
      <c r="BM145" s="748"/>
      <c r="BN145" s="91"/>
      <c r="BO145" s="94"/>
      <c r="BP145" s="94"/>
      <c r="BQ145" s="95"/>
      <c r="BR145" s="130"/>
      <c r="BS145" s="131"/>
      <c r="BT145" s="131"/>
      <c r="BU145" s="99"/>
      <c r="BV145" s="99"/>
      <c r="BW145" s="130"/>
      <c r="BX145" s="131"/>
      <c r="BY145" s="131"/>
      <c r="BZ145" s="101"/>
      <c r="CA145" s="102"/>
      <c r="CB145" s="103"/>
      <c r="CC145" s="104"/>
      <c r="CD145" s="105"/>
      <c r="CE145" s="718"/>
      <c r="CF145" s="719"/>
      <c r="CG145" s="719"/>
      <c r="CH145" s="720"/>
      <c r="CI145" s="721"/>
      <c r="CJ145" s="715"/>
    </row>
    <row r="146" spans="1:89" ht="18.75" hidden="1" outlineLevel="1">
      <c r="A146" s="831"/>
      <c r="B146" s="247"/>
      <c r="C146" s="247"/>
      <c r="D146" s="248"/>
      <c r="E146" s="248"/>
      <c r="F146" s="247"/>
      <c r="G146" s="832"/>
      <c r="H146" s="80"/>
      <c r="I146" s="80"/>
      <c r="J146" s="80"/>
      <c r="K146" s="271"/>
      <c r="L146" s="80"/>
      <c r="M146" s="68"/>
      <c r="N146" s="68"/>
      <c r="O146" s="70"/>
      <c r="P146" s="70"/>
      <c r="Q146" s="70"/>
      <c r="R146" s="70"/>
      <c r="S146" s="249"/>
      <c r="T146" s="250"/>
      <c r="U146" s="70"/>
      <c r="V146" s="70"/>
      <c r="W146" s="70"/>
      <c r="X146" s="70"/>
      <c r="Y146" s="250"/>
      <c r="Z146" s="70"/>
      <c r="AA146" s="70"/>
      <c r="AB146" s="70"/>
      <c r="AC146" s="251"/>
      <c r="AD146" s="274"/>
      <c r="AE146" s="135"/>
      <c r="AF146" s="135"/>
      <c r="AG146" s="135"/>
      <c r="AH146" s="81"/>
      <c r="AI146" s="324"/>
      <c r="AJ146" s="319"/>
      <c r="AK146" s="288"/>
      <c r="AL146" s="288"/>
      <c r="AM146" s="81"/>
      <c r="AN146" s="324"/>
      <c r="AO146" s="542"/>
      <c r="AP146" s="81"/>
      <c r="AQ146" s="543"/>
      <c r="AR146" s="81"/>
      <c r="AS146" s="80"/>
      <c r="AT146" s="247"/>
      <c r="AU146" s="247"/>
      <c r="AV146" s="247"/>
      <c r="AW146" s="317"/>
      <c r="AX146" s="387"/>
      <c r="AY146" s="514"/>
      <c r="AZ146" s="84"/>
      <c r="BA146" s="64"/>
      <c r="BB146" s="64"/>
      <c r="BC146" s="64"/>
      <c r="BD146" s="516"/>
      <c r="BE146" s="455"/>
      <c r="BF146" s="703"/>
      <c r="BG146" s="703"/>
      <c r="BH146" s="93"/>
      <c r="BI146" s="91"/>
      <c r="BJ146" s="93"/>
      <c r="BK146" s="748"/>
      <c r="BL146" s="748"/>
      <c r="BM146" s="748"/>
      <c r="BN146" s="91"/>
      <c r="BO146" s="94"/>
      <c r="BP146" s="94"/>
      <c r="BQ146" s="95"/>
      <c r="BR146" s="130"/>
      <c r="BS146" s="131"/>
      <c r="BT146" s="131"/>
      <c r="BU146" s="99"/>
      <c r="BV146" s="99"/>
      <c r="BW146" s="130"/>
      <c r="BX146" s="131"/>
      <c r="BY146" s="131"/>
      <c r="BZ146" s="101"/>
      <c r="CA146" s="102"/>
      <c r="CB146" s="103"/>
      <c r="CC146" s="104"/>
      <c r="CD146" s="105"/>
      <c r="CE146" s="718"/>
      <c r="CF146" s="719"/>
      <c r="CG146" s="719"/>
      <c r="CH146" s="720"/>
      <c r="CI146" s="721"/>
      <c r="CJ146" s="715"/>
    </row>
    <row r="147" spans="1:89" ht="18.75" hidden="1" outlineLevel="1">
      <c r="A147" s="831"/>
      <c r="B147" s="247"/>
      <c r="C147" s="247"/>
      <c r="D147" s="248"/>
      <c r="E147" s="248"/>
      <c r="F147" s="247"/>
      <c r="G147" s="832"/>
      <c r="H147" s="80"/>
      <c r="I147" s="80"/>
      <c r="J147" s="80"/>
      <c r="K147" s="271"/>
      <c r="L147" s="80"/>
      <c r="M147" s="68"/>
      <c r="N147" s="68"/>
      <c r="O147" s="70"/>
      <c r="P147" s="70"/>
      <c r="Q147" s="70"/>
      <c r="R147" s="70"/>
      <c r="S147" s="249"/>
      <c r="T147" s="250"/>
      <c r="U147" s="70"/>
      <c r="V147" s="70"/>
      <c r="W147" s="70"/>
      <c r="X147" s="70"/>
      <c r="Y147" s="250"/>
      <c r="Z147" s="70"/>
      <c r="AA147" s="70"/>
      <c r="AB147" s="70"/>
      <c r="AC147" s="251"/>
      <c r="AD147" s="274"/>
      <c r="AE147" s="135"/>
      <c r="AF147" s="135"/>
      <c r="AG147" s="135"/>
      <c r="AH147" s="81"/>
      <c r="AI147" s="324"/>
      <c r="AJ147" s="319"/>
      <c r="AK147" s="288"/>
      <c r="AL147" s="288"/>
      <c r="AM147" s="81"/>
      <c r="AN147" s="324"/>
      <c r="AO147" s="542"/>
      <c r="AP147" s="81"/>
      <c r="AQ147" s="543"/>
      <c r="AR147" s="81"/>
      <c r="AS147" s="80"/>
      <c r="AT147" s="247"/>
      <c r="AU147" s="247"/>
      <c r="AV147" s="247"/>
      <c r="AW147" s="317"/>
      <c r="AX147" s="387"/>
      <c r="AY147" s="514"/>
      <c r="AZ147" s="84"/>
      <c r="BA147" s="64"/>
      <c r="BB147" s="64"/>
      <c r="BC147" s="64"/>
      <c r="BD147" s="516"/>
      <c r="BE147" s="455"/>
      <c r="BF147" s="703"/>
      <c r="BG147" s="703"/>
      <c r="BH147" s="93"/>
      <c r="BI147" s="91"/>
      <c r="BJ147" s="93"/>
      <c r="BK147" s="748"/>
      <c r="BL147" s="748"/>
      <c r="BM147" s="748"/>
      <c r="BN147" s="91"/>
      <c r="BO147" s="94"/>
      <c r="BP147" s="94"/>
      <c r="BQ147" s="95"/>
      <c r="BR147" s="130"/>
      <c r="BS147" s="131"/>
      <c r="BT147" s="131"/>
      <c r="BU147" s="99"/>
      <c r="BV147" s="99"/>
      <c r="BW147" s="130"/>
      <c r="BX147" s="131"/>
      <c r="BY147" s="131"/>
      <c r="BZ147" s="101"/>
      <c r="CA147" s="102"/>
      <c r="CB147" s="103"/>
      <c r="CC147" s="104"/>
      <c r="CD147" s="105"/>
      <c r="CE147" s="718"/>
      <c r="CF147" s="719"/>
      <c r="CG147" s="719"/>
      <c r="CH147" s="720"/>
      <c r="CI147" s="721"/>
      <c r="CJ147" s="715"/>
    </row>
    <row r="148" spans="1:89" ht="18.75" hidden="1" outlineLevel="1">
      <c r="A148" s="831"/>
      <c r="B148" s="247"/>
      <c r="C148" s="247"/>
      <c r="D148" s="248"/>
      <c r="E148" s="248"/>
      <c r="F148" s="247"/>
      <c r="G148" s="832"/>
      <c r="H148" s="80"/>
      <c r="I148" s="80"/>
      <c r="J148" s="80"/>
      <c r="K148" s="271"/>
      <c r="L148" s="80"/>
      <c r="M148" s="68"/>
      <c r="N148" s="68"/>
      <c r="O148" s="70"/>
      <c r="P148" s="70"/>
      <c r="Q148" s="70"/>
      <c r="R148" s="70"/>
      <c r="S148" s="249"/>
      <c r="T148" s="250"/>
      <c r="U148" s="70"/>
      <c r="V148" s="70"/>
      <c r="W148" s="70"/>
      <c r="X148" s="70"/>
      <c r="Y148" s="250"/>
      <c r="Z148" s="70"/>
      <c r="AA148" s="70"/>
      <c r="AB148" s="70"/>
      <c r="AC148" s="251"/>
      <c r="AD148" s="274"/>
      <c r="AE148" s="135"/>
      <c r="AF148" s="135"/>
      <c r="AG148" s="135"/>
      <c r="AH148" s="81"/>
      <c r="AI148" s="324"/>
      <c r="AJ148" s="319"/>
      <c r="AK148" s="288"/>
      <c r="AL148" s="288"/>
      <c r="AM148" s="81"/>
      <c r="AN148" s="324"/>
      <c r="AO148" s="542"/>
      <c r="AP148" s="81"/>
      <c r="AQ148" s="543"/>
      <c r="AR148" s="81"/>
      <c r="AS148" s="80"/>
      <c r="AT148" s="247"/>
      <c r="AU148" s="247"/>
      <c r="AV148" s="247"/>
      <c r="AW148" s="317"/>
      <c r="AX148" s="387"/>
      <c r="AY148" s="514"/>
      <c r="AZ148" s="84"/>
      <c r="BA148" s="64"/>
      <c r="BB148" s="64"/>
      <c r="BC148" s="64"/>
      <c r="BD148" s="516"/>
      <c r="BE148" s="455"/>
      <c r="BF148" s="703"/>
      <c r="BG148" s="703"/>
      <c r="BH148" s="93"/>
      <c r="BI148" s="91"/>
      <c r="BJ148" s="93"/>
      <c r="BK148" s="748"/>
      <c r="BL148" s="748"/>
      <c r="BM148" s="748"/>
      <c r="BN148" s="91"/>
      <c r="BO148" s="94"/>
      <c r="BP148" s="94"/>
      <c r="BQ148" s="95"/>
      <c r="BR148" s="130"/>
      <c r="BS148" s="131"/>
      <c r="BT148" s="131"/>
      <c r="BU148" s="99"/>
      <c r="BV148" s="99"/>
      <c r="BW148" s="130"/>
      <c r="BX148" s="131"/>
      <c r="BY148" s="131"/>
      <c r="BZ148" s="101"/>
      <c r="CA148" s="102"/>
      <c r="CB148" s="103"/>
      <c r="CC148" s="104"/>
      <c r="CD148" s="105"/>
      <c r="CE148" s="718"/>
      <c r="CF148" s="719"/>
      <c r="CG148" s="719"/>
      <c r="CH148" s="720"/>
      <c r="CI148" s="721"/>
      <c r="CJ148" s="715"/>
    </row>
    <row r="149" spans="1:89" ht="18.75" hidden="1" outlineLevel="1">
      <c r="A149" s="831"/>
      <c r="B149" s="247"/>
      <c r="C149" s="247"/>
      <c r="D149" s="248"/>
      <c r="E149" s="248"/>
      <c r="F149" s="247"/>
      <c r="G149" s="832"/>
      <c r="H149" s="80"/>
      <c r="I149" s="80"/>
      <c r="J149" s="80"/>
      <c r="K149" s="271"/>
      <c r="L149" s="80"/>
      <c r="M149" s="68"/>
      <c r="N149" s="68"/>
      <c r="O149" s="70"/>
      <c r="P149" s="70"/>
      <c r="Q149" s="70"/>
      <c r="R149" s="70"/>
      <c r="S149" s="761"/>
      <c r="T149" s="250"/>
      <c r="U149" s="70"/>
      <c r="V149" s="70"/>
      <c r="W149" s="70"/>
      <c r="X149" s="70"/>
      <c r="Y149" s="250"/>
      <c r="Z149" s="70"/>
      <c r="AA149" s="70"/>
      <c r="AB149" s="70"/>
      <c r="AC149" s="251"/>
      <c r="AD149" s="274"/>
      <c r="AE149" s="135"/>
      <c r="AF149" s="135"/>
      <c r="AG149" s="135"/>
      <c r="AH149" s="81"/>
      <c r="AI149" s="324"/>
      <c r="AJ149" s="319"/>
      <c r="AK149" s="288"/>
      <c r="AL149" s="288"/>
      <c r="AM149" s="81"/>
      <c r="AN149" s="324"/>
      <c r="AO149" s="542"/>
      <c r="AP149" s="81"/>
      <c r="AQ149" s="543"/>
      <c r="AR149" s="81"/>
      <c r="AS149" s="80"/>
      <c r="AT149" s="247"/>
      <c r="AU149" s="247"/>
      <c r="AV149" s="247"/>
      <c r="AW149" s="317"/>
      <c r="AX149" s="387"/>
      <c r="AY149" s="514"/>
      <c r="AZ149" s="84"/>
      <c r="BA149" s="64"/>
      <c r="BB149" s="64"/>
      <c r="BC149" s="64"/>
      <c r="BD149" s="516"/>
      <c r="BE149" s="455"/>
      <c r="BF149" s="703"/>
      <c r="BG149" s="703"/>
      <c r="BH149" s="93"/>
      <c r="BI149" s="91"/>
      <c r="BJ149" s="93"/>
      <c r="BK149" s="748"/>
      <c r="BL149" s="748"/>
      <c r="BM149" s="748"/>
      <c r="BN149" s="91"/>
      <c r="BO149" s="94"/>
      <c r="BP149" s="94"/>
      <c r="BQ149" s="95"/>
      <c r="BR149" s="130"/>
      <c r="BS149" s="131"/>
      <c r="BT149" s="131"/>
      <c r="BU149" s="99"/>
      <c r="BV149" s="99"/>
      <c r="BW149" s="130"/>
      <c r="BX149" s="131"/>
      <c r="BY149" s="131"/>
      <c r="BZ149" s="101"/>
      <c r="CA149" s="102"/>
      <c r="CB149" s="103"/>
      <c r="CC149" s="104"/>
      <c r="CD149" s="105"/>
      <c r="CE149" s="718"/>
      <c r="CF149" s="719"/>
      <c r="CG149" s="719"/>
      <c r="CH149" s="720"/>
      <c r="CI149" s="721"/>
      <c r="CJ149" s="715"/>
    </row>
    <row r="150" spans="1:89" ht="18.75" hidden="1" outlineLevel="1">
      <c r="A150" s="831"/>
      <c r="B150" s="247"/>
      <c r="C150" s="247"/>
      <c r="D150" s="248"/>
      <c r="E150" s="248"/>
      <c r="F150" s="247"/>
      <c r="G150" s="832"/>
      <c r="H150" s="80"/>
      <c r="I150" s="80"/>
      <c r="J150" s="80"/>
      <c r="K150" s="271"/>
      <c r="L150" s="80"/>
      <c r="M150" s="68"/>
      <c r="N150" s="68"/>
      <c r="O150" s="70"/>
      <c r="P150" s="70"/>
      <c r="Q150" s="70"/>
      <c r="R150" s="70"/>
      <c r="S150" s="249"/>
      <c r="T150" s="250"/>
      <c r="U150" s="70"/>
      <c r="V150" s="70"/>
      <c r="W150" s="70"/>
      <c r="X150" s="70"/>
      <c r="Y150" s="250"/>
      <c r="Z150" s="70"/>
      <c r="AA150" s="70"/>
      <c r="AB150" s="70"/>
      <c r="AC150" s="251"/>
      <c r="AD150" s="274"/>
      <c r="AE150" s="135"/>
      <c r="AF150" s="135"/>
      <c r="AG150" s="135"/>
      <c r="AH150" s="81"/>
      <c r="AI150" s="324"/>
      <c r="AJ150" s="319"/>
      <c r="AK150" s="288"/>
      <c r="AL150" s="288"/>
      <c r="AM150" s="81"/>
      <c r="AN150" s="324"/>
      <c r="AO150" s="542"/>
      <c r="AP150" s="81"/>
      <c r="AQ150" s="543"/>
      <c r="AR150" s="81"/>
      <c r="AS150" s="80"/>
      <c r="AT150" s="247"/>
      <c r="AU150" s="247"/>
      <c r="AV150" s="247"/>
      <c r="AW150" s="317"/>
      <c r="AX150" s="387"/>
      <c r="AY150" s="514"/>
      <c r="AZ150" s="84"/>
      <c r="BA150" s="64"/>
      <c r="BB150" s="64"/>
      <c r="BC150" s="64"/>
      <c r="BD150" s="516"/>
      <c r="BE150" s="455"/>
      <c r="BF150" s="703"/>
      <c r="BG150" s="703"/>
      <c r="BH150" s="93"/>
      <c r="BI150" s="91"/>
      <c r="BJ150" s="93"/>
      <c r="BK150" s="748"/>
      <c r="BL150" s="748"/>
      <c r="BM150" s="748"/>
      <c r="BN150" s="91"/>
      <c r="BO150" s="94"/>
      <c r="BP150" s="94"/>
      <c r="BQ150" s="95"/>
      <c r="BR150" s="130"/>
      <c r="BS150" s="131"/>
      <c r="BT150" s="131"/>
      <c r="BU150" s="99"/>
      <c r="BV150" s="99"/>
      <c r="BW150" s="130"/>
      <c r="BX150" s="131"/>
      <c r="BY150" s="131"/>
      <c r="BZ150" s="101"/>
      <c r="CA150" s="102"/>
      <c r="CB150" s="103"/>
      <c r="CC150" s="104"/>
      <c r="CD150" s="105"/>
      <c r="CE150" s="718"/>
      <c r="CF150" s="719"/>
      <c r="CG150" s="719"/>
      <c r="CH150" s="720"/>
      <c r="CI150" s="721"/>
      <c r="CJ150" s="715"/>
    </row>
    <row r="151" spans="1:89" ht="18.75" hidden="1" outlineLevel="1">
      <c r="A151" s="831"/>
      <c r="B151" s="247"/>
      <c r="C151" s="247"/>
      <c r="D151" s="248"/>
      <c r="E151" s="248"/>
      <c r="F151" s="247"/>
      <c r="G151" s="832"/>
      <c r="H151" s="80"/>
      <c r="I151" s="80"/>
      <c r="J151" s="80"/>
      <c r="K151" s="271"/>
      <c r="L151" s="80"/>
      <c r="M151" s="68"/>
      <c r="N151" s="68"/>
      <c r="O151" s="70"/>
      <c r="P151" s="70"/>
      <c r="Q151" s="70"/>
      <c r="R151" s="70"/>
      <c r="S151" s="249"/>
      <c r="T151" s="250"/>
      <c r="U151" s="70"/>
      <c r="V151" s="70"/>
      <c r="W151" s="70"/>
      <c r="X151" s="70"/>
      <c r="Y151" s="250"/>
      <c r="Z151" s="70"/>
      <c r="AA151" s="70"/>
      <c r="AB151" s="70"/>
      <c r="AC151" s="251"/>
      <c r="AD151" s="274"/>
      <c r="AE151" s="135"/>
      <c r="AF151" s="135"/>
      <c r="AG151" s="135"/>
      <c r="AH151" s="81"/>
      <c r="AI151" s="324"/>
      <c r="AJ151" s="319"/>
      <c r="AK151" s="288"/>
      <c r="AL151" s="288"/>
      <c r="AM151" s="81"/>
      <c r="AN151" s="324"/>
      <c r="AO151" s="542"/>
      <c r="AP151" s="81"/>
      <c r="AQ151" s="543"/>
      <c r="AR151" s="81"/>
      <c r="AS151" s="80"/>
      <c r="AT151" s="247"/>
      <c r="AU151" s="247"/>
      <c r="AV151" s="247"/>
      <c r="AW151" s="317"/>
      <c r="AX151" s="387"/>
      <c r="AY151" s="514"/>
      <c r="AZ151" s="84"/>
      <c r="BA151" s="64"/>
      <c r="BB151" s="64"/>
      <c r="BC151" s="64"/>
      <c r="BD151" s="516"/>
      <c r="BE151" s="455"/>
      <c r="BF151" s="703"/>
      <c r="BG151" s="703"/>
      <c r="BH151" s="93"/>
      <c r="BI151" s="91"/>
      <c r="BJ151" s="93"/>
      <c r="BK151" s="748"/>
      <c r="BL151" s="748"/>
      <c r="BM151" s="748"/>
      <c r="BN151" s="91"/>
      <c r="BO151" s="94"/>
      <c r="BP151" s="94"/>
      <c r="BQ151" s="95"/>
      <c r="BR151" s="130"/>
      <c r="BS151" s="131"/>
      <c r="BT151" s="131"/>
      <c r="BU151" s="99"/>
      <c r="BV151" s="99"/>
      <c r="BW151" s="130"/>
      <c r="BX151" s="131"/>
      <c r="BY151" s="131"/>
      <c r="BZ151" s="101"/>
      <c r="CA151" s="102"/>
      <c r="CB151" s="103"/>
      <c r="CC151" s="104"/>
      <c r="CD151" s="105"/>
      <c r="CE151" s="718"/>
      <c r="CF151" s="719"/>
      <c r="CG151" s="719"/>
      <c r="CH151" s="720"/>
      <c r="CI151" s="721"/>
      <c r="CJ151" s="715"/>
    </row>
    <row r="152" spans="1:89" ht="18.75" hidden="1" outlineLevel="1">
      <c r="A152" s="831"/>
      <c r="B152" s="247"/>
      <c r="C152" s="247"/>
      <c r="D152" s="248"/>
      <c r="E152" s="248"/>
      <c r="F152" s="247"/>
      <c r="G152" s="832"/>
      <c r="H152" s="80"/>
      <c r="I152" s="80"/>
      <c r="J152" s="80"/>
      <c r="K152" s="271"/>
      <c r="L152" s="80"/>
      <c r="M152" s="68"/>
      <c r="N152" s="68"/>
      <c r="O152" s="70"/>
      <c r="P152" s="70"/>
      <c r="Q152" s="70"/>
      <c r="R152" s="70"/>
      <c r="S152" s="249"/>
      <c r="T152" s="250"/>
      <c r="U152" s="70"/>
      <c r="V152" s="70"/>
      <c r="W152" s="70"/>
      <c r="X152" s="70"/>
      <c r="Y152" s="250"/>
      <c r="Z152" s="70"/>
      <c r="AA152" s="70"/>
      <c r="AB152" s="70"/>
      <c r="AC152" s="251"/>
      <c r="AD152" s="274"/>
      <c r="AE152" s="135"/>
      <c r="AF152" s="135"/>
      <c r="AG152" s="135"/>
      <c r="AH152" s="81"/>
      <c r="AI152" s="324"/>
      <c r="AJ152" s="319"/>
      <c r="AK152" s="288"/>
      <c r="AL152" s="288"/>
      <c r="AM152" s="81"/>
      <c r="AN152" s="324"/>
      <c r="AO152" s="542"/>
      <c r="AP152" s="81"/>
      <c r="AQ152" s="543"/>
      <c r="AR152" s="81"/>
      <c r="AS152" s="80"/>
      <c r="AT152" s="247"/>
      <c r="AU152" s="247"/>
      <c r="AV152" s="247"/>
      <c r="AW152" s="317"/>
      <c r="AX152" s="387"/>
      <c r="AY152" s="514"/>
      <c r="AZ152" s="84"/>
      <c r="BA152" s="64"/>
      <c r="BB152" s="64"/>
      <c r="BC152" s="64"/>
      <c r="BD152" s="516"/>
      <c r="BE152" s="455"/>
      <c r="BF152" s="703"/>
      <c r="BG152" s="703"/>
      <c r="BH152" s="93"/>
      <c r="BI152" s="91"/>
      <c r="BJ152" s="93"/>
      <c r="BK152" s="748"/>
      <c r="BL152" s="748"/>
      <c r="BM152" s="748"/>
      <c r="BN152" s="91"/>
      <c r="BO152" s="94"/>
      <c r="BP152" s="94"/>
      <c r="BQ152" s="95"/>
      <c r="BR152" s="130"/>
      <c r="BS152" s="131"/>
      <c r="BT152" s="131"/>
      <c r="BU152" s="99"/>
      <c r="BV152" s="99"/>
      <c r="BW152" s="130"/>
      <c r="BX152" s="131"/>
      <c r="BY152" s="131"/>
      <c r="BZ152" s="101"/>
      <c r="CA152" s="102"/>
      <c r="CB152" s="103"/>
      <c r="CC152" s="104"/>
      <c r="CD152" s="105"/>
      <c r="CE152" s="718"/>
      <c r="CF152" s="719"/>
      <c r="CG152" s="719"/>
      <c r="CH152" s="720"/>
      <c r="CI152" s="721"/>
      <c r="CJ152" s="715"/>
    </row>
    <row r="153" spans="1:89" ht="18.75" hidden="1" outlineLevel="1">
      <c r="A153" s="831"/>
      <c r="B153" s="247"/>
      <c r="C153" s="247"/>
      <c r="D153" s="248"/>
      <c r="E153" s="248"/>
      <c r="F153" s="247"/>
      <c r="G153" s="832"/>
      <c r="H153" s="80"/>
      <c r="I153" s="80"/>
      <c r="J153" s="80"/>
      <c r="K153" s="271"/>
      <c r="L153" s="80"/>
      <c r="M153" s="68"/>
      <c r="N153" s="68"/>
      <c r="O153" s="70"/>
      <c r="P153" s="70"/>
      <c r="Q153" s="70"/>
      <c r="R153" s="70"/>
      <c r="S153" s="249"/>
      <c r="T153" s="250"/>
      <c r="U153" s="70"/>
      <c r="V153" s="70"/>
      <c r="W153" s="70"/>
      <c r="X153" s="70"/>
      <c r="Y153" s="250"/>
      <c r="Z153" s="70"/>
      <c r="AA153" s="70"/>
      <c r="AB153" s="70"/>
      <c r="AC153" s="251"/>
      <c r="AD153" s="274"/>
      <c r="AE153" s="135"/>
      <c r="AF153" s="135"/>
      <c r="AG153" s="135"/>
      <c r="AH153" s="81"/>
      <c r="AI153" s="324"/>
      <c r="AJ153" s="319"/>
      <c r="AK153" s="288"/>
      <c r="AL153" s="288"/>
      <c r="AM153" s="81"/>
      <c r="AN153" s="324"/>
      <c r="AO153" s="542"/>
      <c r="AP153" s="81"/>
      <c r="AQ153" s="543"/>
      <c r="AR153" s="81"/>
      <c r="AS153" s="80"/>
      <c r="AT153" s="247"/>
      <c r="AU153" s="247"/>
      <c r="AV153" s="247"/>
      <c r="AW153" s="317"/>
      <c r="AX153" s="387"/>
      <c r="AY153" s="514"/>
      <c r="AZ153" s="84"/>
      <c r="BA153" s="64"/>
      <c r="BB153" s="64"/>
      <c r="BC153" s="64"/>
      <c r="BD153" s="516"/>
      <c r="BE153" s="455"/>
      <c r="BF153" s="703"/>
      <c r="BG153" s="703"/>
      <c r="BH153" s="93"/>
      <c r="BI153" s="91"/>
      <c r="BJ153" s="93"/>
      <c r="BK153" s="748"/>
      <c r="BL153" s="748"/>
      <c r="BM153" s="748"/>
      <c r="BN153" s="91"/>
      <c r="BO153" s="94"/>
      <c r="BP153" s="94"/>
      <c r="BQ153" s="95"/>
      <c r="BR153" s="130"/>
      <c r="BS153" s="131"/>
      <c r="BT153" s="131"/>
      <c r="BU153" s="99"/>
      <c r="BV153" s="99"/>
      <c r="BW153" s="130"/>
      <c r="BX153" s="131"/>
      <c r="BY153" s="131"/>
      <c r="BZ153" s="101"/>
      <c r="CA153" s="102"/>
      <c r="CB153" s="103"/>
      <c r="CC153" s="104"/>
      <c r="CD153" s="105"/>
      <c r="CE153" s="718"/>
      <c r="CF153" s="719"/>
      <c r="CG153" s="719"/>
      <c r="CH153" s="720"/>
      <c r="CI153" s="721"/>
      <c r="CJ153" s="715"/>
    </row>
    <row r="154" spans="1:89" ht="18.75" hidden="1" outlineLevel="1">
      <c r="A154" s="148" t="s">
        <v>86</v>
      </c>
      <c r="B154" s="149">
        <f>COUNTIF(A140,$B$1)</f>
        <v>0</v>
      </c>
      <c r="C154" s="150"/>
      <c r="D154" s="151"/>
      <c r="E154" s="151"/>
      <c r="F154" s="151"/>
      <c r="G154" s="152">
        <f>SUMIF(A140:A153,$B$1,G140:G153)</f>
        <v>0</v>
      </c>
      <c r="H154" s="152">
        <f>SUMIF(A140:A153,$B$1,H140:H153)</f>
        <v>0</v>
      </c>
      <c r="I154" s="152">
        <f>SUM(I140:I153)</f>
        <v>0</v>
      </c>
      <c r="J154" s="152"/>
      <c r="K154" s="152"/>
      <c r="L154" s="153"/>
      <c r="M154" s="152"/>
      <c r="N154" s="152"/>
      <c r="O154" s="152"/>
      <c r="P154" s="152"/>
      <c r="Q154" s="152"/>
      <c r="R154" s="152"/>
      <c r="S154" s="152"/>
      <c r="T154" s="152"/>
      <c r="U154" s="152"/>
      <c r="V154" s="151"/>
      <c r="W154" s="151"/>
      <c r="X154" s="151"/>
      <c r="Y154" s="152"/>
      <c r="Z154" s="152"/>
      <c r="AA154" s="151"/>
      <c r="AB154" s="151"/>
      <c r="AC154" s="151"/>
      <c r="AD154" s="151"/>
      <c r="AE154" s="154"/>
      <c r="AF154" s="155"/>
      <c r="AG154" s="156"/>
      <c r="AH154" s="152"/>
      <c r="AI154" s="157"/>
      <c r="AJ154" s="730"/>
      <c r="AK154" s="156"/>
      <c r="AL154" s="156"/>
      <c r="AM154" s="152"/>
      <c r="AN154" s="157"/>
      <c r="AO154" s="297"/>
      <c r="AP154" s="152"/>
      <c r="AQ154" s="152"/>
      <c r="AR154" s="161"/>
      <c r="AS154" s="151"/>
      <c r="AT154" s="151"/>
      <c r="AU154" s="151"/>
      <c r="AV154" s="151"/>
      <c r="AW154" s="151"/>
      <c r="AX154" s="151"/>
      <c r="AY154" s="151"/>
      <c r="AZ154" s="163">
        <f>SUM(AZ140:AZ153)</f>
        <v>0</v>
      </c>
      <c r="BA154" s="163">
        <f>SUM(BA140:BA153)</f>
        <v>0</v>
      </c>
      <c r="BB154" s="163">
        <f>SUM(BB140:BB153)</f>
        <v>0</v>
      </c>
      <c r="BC154" s="221" t="str">
        <f>IF(COUNT(BC140:BC153)=0,"-",AVERAGE(BC140:BC153))</f>
        <v>-</v>
      </c>
      <c r="BD154" s="165"/>
      <c r="BE154" s="340"/>
      <c r="BF154" s="340"/>
      <c r="BG154" s="341"/>
      <c r="BH154" s="341"/>
      <c r="BI154" s="341"/>
      <c r="BJ154" s="341"/>
      <c r="BK154" s="341"/>
      <c r="BL154" s="341"/>
      <c r="BM154" s="341"/>
      <c r="BN154" s="341"/>
      <c r="BO154" s="341"/>
      <c r="BP154" s="163">
        <f>SUM(BP122:BP140)</f>
        <v>0</v>
      </c>
      <c r="BQ154" s="163">
        <f>SUM(BQ122:BQ140)</f>
        <v>0</v>
      </c>
      <c r="BR154" s="833">
        <f>COUNTA(BR122:BR143)</f>
        <v>0</v>
      </c>
      <c r="BS154" s="834">
        <f>SUM(BS140:BS153,BS122:BS136)</f>
        <v>0</v>
      </c>
      <c r="BT154" s="834"/>
      <c r="BU154" s="1932">
        <f>SUM(BU122:BU135,BU140:BU143)</f>
        <v>0</v>
      </c>
      <c r="BV154" s="835"/>
      <c r="BW154" s="836">
        <f>COUNTA(BW122:BW143)</f>
        <v>0</v>
      </c>
      <c r="BX154" s="836">
        <f>SUM(BX122:BX143)</f>
        <v>0</v>
      </c>
      <c r="BY154" s="836">
        <f>SUM(BY122:BY143)</f>
        <v>0</v>
      </c>
      <c r="BZ154" s="171"/>
      <c r="CA154" s="548"/>
      <c r="CB154" s="173">
        <f>AO154</f>
        <v>0</v>
      </c>
      <c r="CC154" s="173">
        <f>COUNTIF(CC140:CC153,"=0")</f>
        <v>0</v>
      </c>
      <c r="CD154" s="174">
        <f>SUM(COUNTIF(CC140:CC153,"&lt;0"),COUNTIF(CC140:CC153,"&gt;0"))</f>
        <v>0</v>
      </c>
      <c r="CE154" s="225">
        <f>COUNTIF(CE122:CE135,"1")</f>
        <v>0</v>
      </c>
      <c r="CF154" s="226">
        <f>SUM(CF122:CF135)</f>
        <v>0</v>
      </c>
      <c r="CG154" s="227">
        <f>COUNTIF(CG122:CG140,"1")</f>
        <v>0</v>
      </c>
      <c r="CH154" s="228">
        <f>SUM(CH122:CH140)</f>
        <v>0</v>
      </c>
      <c r="CI154" s="731"/>
      <c r="CJ154" s="715"/>
    </row>
    <row r="155" spans="1:89" ht="18.75" hidden="1" outlineLevel="1">
      <c r="A155" s="179" t="s">
        <v>87</v>
      </c>
      <c r="B155" s="180">
        <f>COUNT(A140)</f>
        <v>0</v>
      </c>
      <c r="C155" s="181"/>
      <c r="D155" s="182"/>
      <c r="E155" s="182"/>
      <c r="F155" s="182"/>
      <c r="G155" s="184">
        <f>SUM(G122:G135)</f>
        <v>0</v>
      </c>
      <c r="H155" s="184">
        <f>SUM(H125:H135)</f>
        <v>0</v>
      </c>
      <c r="I155" s="184"/>
      <c r="J155" s="184">
        <f>SUM(J125:J135)</f>
        <v>0</v>
      </c>
      <c r="K155" s="184"/>
      <c r="L155" s="184"/>
      <c r="M155" s="184"/>
      <c r="N155" s="184"/>
      <c r="O155" s="184"/>
      <c r="P155" s="184"/>
      <c r="Q155" s="184"/>
      <c r="R155" s="184"/>
      <c r="S155" s="185"/>
      <c r="T155" s="184">
        <f>SUM(T125:T135)</f>
        <v>0</v>
      </c>
      <c r="U155" s="185"/>
      <c r="V155" s="182"/>
      <c r="W155" s="182"/>
      <c r="X155" s="182"/>
      <c r="Y155" s="184">
        <f>SUM(Y125:Y135)</f>
        <v>0</v>
      </c>
      <c r="Z155" s="185"/>
      <c r="AA155" s="182"/>
      <c r="AB155" s="182"/>
      <c r="AC155" s="182"/>
      <c r="AD155" s="182"/>
      <c r="AE155" s="186"/>
      <c r="AF155" s="186"/>
      <c r="AG155" s="186"/>
      <c r="AH155" s="184"/>
      <c r="AI155" s="184"/>
      <c r="AJ155" s="186"/>
      <c r="AK155" s="186"/>
      <c r="AL155" s="186"/>
      <c r="AM155" s="184"/>
      <c r="AN155" s="184"/>
      <c r="AO155" s="182"/>
      <c r="AP155" s="184"/>
      <c r="AQ155" s="182"/>
      <c r="AR155" s="187"/>
      <c r="AS155" s="182"/>
      <c r="AT155" s="182"/>
      <c r="AU155" s="182"/>
      <c r="AV155" s="182"/>
      <c r="AW155" s="182"/>
      <c r="AX155" s="182"/>
      <c r="AY155" s="182"/>
      <c r="AZ155" s="188">
        <f>SUM(AZ154,AZ136)</f>
        <v>0</v>
      </c>
      <c r="BA155" s="188">
        <f>SUM(BA154,BA136)</f>
        <v>0</v>
      </c>
      <c r="BB155" s="188">
        <f>SUM(BB154,BB136)</f>
        <v>0</v>
      </c>
      <c r="BC155" s="229" t="str">
        <f>IF(COUNT(BC140:BC153,BC122:BC135)=0,"-",AVERAGE(BC140:BC153,BC122:BC135))</f>
        <v>-</v>
      </c>
      <c r="BD155" s="188">
        <f>+BD137</f>
        <v>0</v>
      </c>
      <c r="BE155" s="535"/>
      <c r="BF155" s="535"/>
      <c r="BG155" s="476"/>
      <c r="BH155" s="476"/>
      <c r="BI155" s="476"/>
      <c r="BJ155" s="476"/>
      <c r="BK155" s="476"/>
      <c r="BL155" s="476"/>
      <c r="BM155" s="476"/>
      <c r="BN155" s="476"/>
      <c r="BO155" s="476"/>
      <c r="BP155" s="308"/>
      <c r="BQ155" s="237"/>
      <c r="BR155" s="837"/>
      <c r="BS155" s="838"/>
      <c r="BT155" s="838"/>
      <c r="BU155" s="1933"/>
      <c r="BV155" s="839">
        <f>SUMIF(BV122:BV143,"",BU122:BU143)</f>
        <v>0</v>
      </c>
      <c r="BW155" s="840"/>
      <c r="BX155" s="840"/>
      <c r="BY155" s="840"/>
      <c r="BZ155" s="195"/>
      <c r="CA155" s="196"/>
      <c r="CB155" s="197">
        <f>SUM(CB140:CB153)</f>
        <v>0</v>
      </c>
      <c r="CC155" s="197">
        <f>SUMIF(CC140:CC153,"=0",CD140:CD153)</f>
        <v>0</v>
      </c>
      <c r="CD155" s="198">
        <f>SUMIF(CC140:CC153,"&lt;&gt;0",CD140:CD153)</f>
        <v>0</v>
      </c>
      <c r="CE155" s="236"/>
      <c r="CF155" s="230"/>
      <c r="CG155" s="230"/>
      <c r="CH155" s="237"/>
      <c r="CI155" s="744"/>
      <c r="CJ155" s="715"/>
    </row>
    <row r="156" spans="1:89" ht="23.25" collapsed="1">
      <c r="A156" s="2144" t="s">
        <v>293</v>
      </c>
      <c r="B156" s="2149"/>
      <c r="C156" s="2149"/>
      <c r="D156" s="2149"/>
      <c r="E156" s="2149"/>
      <c r="F156" s="2149"/>
      <c r="G156" s="2149"/>
      <c r="H156" s="2149"/>
      <c r="I156" s="2149"/>
      <c r="J156" s="2149"/>
      <c r="K156" s="2149"/>
      <c r="L156" s="2149"/>
      <c r="M156" s="2149"/>
      <c r="N156" s="2149"/>
      <c r="O156" s="2149"/>
      <c r="P156" s="2149"/>
      <c r="Q156" s="2149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3"/>
      <c r="AE156" s="43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  <c r="AQ156" s="44"/>
      <c r="AR156" s="44"/>
      <c r="AS156" s="44"/>
      <c r="AT156" s="44"/>
      <c r="AU156" s="44"/>
      <c r="AV156" s="44"/>
      <c r="AW156" s="44"/>
      <c r="AX156" s="44"/>
      <c r="AY156" s="44"/>
      <c r="AZ156" s="44"/>
      <c r="BA156" s="44"/>
      <c r="BB156" s="44"/>
      <c r="BC156" s="44"/>
      <c r="BD156" s="45"/>
      <c r="BE156" s="45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95"/>
      <c r="BR156" s="610"/>
      <c r="BS156" s="610"/>
      <c r="BT156" s="610"/>
      <c r="BU156" s="552"/>
      <c r="BV156" s="610"/>
      <c r="BW156" s="610"/>
      <c r="BX156" s="610"/>
      <c r="BY156" s="610"/>
      <c r="BZ156" s="52"/>
      <c r="CA156" s="53"/>
      <c r="CB156" s="53"/>
      <c r="CC156" s="53"/>
      <c r="CD156" s="206"/>
      <c r="CE156" s="365"/>
      <c r="CF156" s="365"/>
      <c r="CG156" s="365"/>
      <c r="CH156" s="365"/>
      <c r="CI156" s="369"/>
      <c r="CJ156" s="715"/>
    </row>
    <row r="157" spans="1:89" ht="45.75" customHeight="1">
      <c r="A157" s="59">
        <f>DAY(AG157)</f>
        <v>12</v>
      </c>
      <c r="B157" s="247">
        <v>300</v>
      </c>
      <c r="C157" s="247">
        <v>3</v>
      </c>
      <c r="D157" s="248" t="s">
        <v>304</v>
      </c>
      <c r="E157" s="62" t="s">
        <v>305</v>
      </c>
      <c r="F157" s="247"/>
      <c r="G157" s="64">
        <f>M157-T157</f>
        <v>9.1999999999999993</v>
      </c>
      <c r="H157" s="65">
        <f>M157-T157</f>
        <v>9.1999999999999993</v>
      </c>
      <c r="I157" s="65">
        <f>IF($B$2&gt;=A157,($B$2-A157+1)*G157,"-")</f>
        <v>184</v>
      </c>
      <c r="J157" s="65">
        <f>($A$2-A157+1)*G157</f>
        <v>184</v>
      </c>
      <c r="K157" s="629"/>
      <c r="L157" s="80">
        <f ca="1">IF((AE157)&lt;$L$2-DAY($L$2)+1,H157,H157+T157)</f>
        <v>9.1999999999999993</v>
      </c>
      <c r="M157" s="68">
        <v>24.7</v>
      </c>
      <c r="N157" s="68">
        <v>201</v>
      </c>
      <c r="O157" s="1846">
        <v>86</v>
      </c>
      <c r="P157" s="70">
        <v>1350</v>
      </c>
      <c r="Q157" s="70">
        <v>1729</v>
      </c>
      <c r="R157" s="70"/>
      <c r="S157" s="249" t="s">
        <v>307</v>
      </c>
      <c r="T157" s="64">
        <v>15.5</v>
      </c>
      <c r="U157" s="70">
        <v>122.7</v>
      </c>
      <c r="V157" s="64">
        <v>85</v>
      </c>
      <c r="W157" s="70">
        <v>1146</v>
      </c>
      <c r="X157" s="70">
        <v>1729</v>
      </c>
      <c r="Y157" s="64">
        <v>10</v>
      </c>
      <c r="Z157" s="70">
        <v>115</v>
      </c>
      <c r="AA157" s="64">
        <v>85</v>
      </c>
      <c r="AB157" s="70">
        <v>1146</v>
      </c>
      <c r="AC157" s="251"/>
      <c r="AD157" s="274" t="s">
        <v>126</v>
      </c>
      <c r="AE157" s="319">
        <v>42001</v>
      </c>
      <c r="AF157" s="288">
        <f>AE157+10</f>
        <v>42011</v>
      </c>
      <c r="AG157" s="454">
        <f>AF157+5</f>
        <v>42016</v>
      </c>
      <c r="AH157" s="74"/>
      <c r="AI157" s="75"/>
      <c r="AJ157" s="76">
        <v>42001</v>
      </c>
      <c r="AK157" s="77">
        <v>42014</v>
      </c>
      <c r="AL157" s="77">
        <f>AK157+5</f>
        <v>42019</v>
      </c>
      <c r="AM157" s="74"/>
      <c r="AN157" s="75"/>
      <c r="AO157" s="78">
        <f>DAY(AL157)</f>
        <v>15</v>
      </c>
      <c r="AP157" s="74">
        <v>30</v>
      </c>
      <c r="AQ157" s="256"/>
      <c r="AR157" s="257"/>
      <c r="AS157" s="80"/>
      <c r="AT157" s="247"/>
      <c r="AU157" s="68"/>
      <c r="AV157" s="68"/>
      <c r="AW157" s="68"/>
      <c r="AX157" s="258"/>
      <c r="AY157" s="83"/>
      <c r="AZ157" s="311">
        <f>IF(AP157&lt;1,"-",AP157-Y157)</f>
        <v>20</v>
      </c>
      <c r="BA157" s="64">
        <f>IF(AZ157="-","-",($B$2-AO157+1)*AZ157)</f>
        <v>340</v>
      </c>
      <c r="BB157" s="63">
        <f>IF(AZ157="-","-",AZ157-H157)</f>
        <v>10.8</v>
      </c>
      <c r="BC157" s="86">
        <f>IF(AZ157="-","-",AZ157/H157)</f>
        <v>2.1739130434782612</v>
      </c>
      <c r="BD157" s="139">
        <f>IF(AP157&lt;1,IF($B$2&gt;=A157,($A$2-A157+1)*-1*H157,"-"),AZ157*($A$2-AO157+1)-H157*($A$2-A157+1))</f>
        <v>156</v>
      </c>
      <c r="BE157" s="511"/>
      <c r="BF157" s="703"/>
      <c r="BG157" s="716"/>
      <c r="BH157" s="91"/>
      <c r="BI157" s="91"/>
      <c r="BJ157" s="93"/>
      <c r="BK157" s="748"/>
      <c r="BL157" s="748"/>
      <c r="BM157" s="748"/>
      <c r="BN157" s="91"/>
      <c r="BO157" s="91"/>
      <c r="BP157" s="94"/>
      <c r="BQ157" s="95"/>
      <c r="BR157" s="1852">
        <f>IF(AE157&lt;=$D$1,T157,0)</f>
        <v>15.5</v>
      </c>
      <c r="BS157" s="1853">
        <f>BR157*($A$2-A157+1)</f>
        <v>310</v>
      </c>
      <c r="BT157" s="1854">
        <f>IF(AJ157&lt;=$D$1,Y157,0)</f>
        <v>10</v>
      </c>
      <c r="BU157" s="1934">
        <f>BT157*($A$2-AO157+1)</f>
        <v>170</v>
      </c>
      <c r="BV157" s="1916"/>
      <c r="BW157" s="215"/>
      <c r="BX157" s="214"/>
      <c r="BY157" s="621"/>
      <c r="BZ157" s="101"/>
      <c r="CA157" s="102"/>
      <c r="CB157" s="103"/>
      <c r="CC157" s="104"/>
      <c r="CD157" s="105"/>
      <c r="CE157" s="718"/>
      <c r="CF157" s="719"/>
      <c r="CG157" s="719"/>
      <c r="CH157" s="720"/>
      <c r="CI157" s="721"/>
      <c r="CJ157" s="111"/>
      <c r="CK157" s="111"/>
    </row>
    <row r="158" spans="1:89" ht="33" hidden="1" customHeight="1">
      <c r="A158" s="59"/>
      <c r="B158" s="247"/>
      <c r="C158" s="247"/>
      <c r="D158" s="62"/>
      <c r="E158" s="62"/>
      <c r="F158" s="247"/>
      <c r="G158" s="80"/>
      <c r="H158" s="80"/>
      <c r="I158" s="80"/>
      <c r="J158" s="80"/>
      <c r="K158" s="271"/>
      <c r="L158" s="80"/>
      <c r="M158" s="1847"/>
      <c r="N158" s="68"/>
      <c r="O158" s="372"/>
      <c r="P158" s="70"/>
      <c r="Q158" s="70"/>
      <c r="R158" s="71"/>
      <c r="S158" s="66"/>
      <c r="T158" s="630"/>
      <c r="U158" s="631"/>
      <c r="V158" s="69"/>
      <c r="W158" s="635"/>
      <c r="X158" s="635"/>
      <c r="Y158" s="630"/>
      <c r="Z158" s="631"/>
      <c r="AA158" s="372"/>
      <c r="AB158" s="635"/>
      <c r="AC158" s="537"/>
      <c r="AD158" s="274"/>
      <c r="AE158" s="253"/>
      <c r="AF158" s="135"/>
      <c r="AG158" s="454"/>
      <c r="AH158" s="74"/>
      <c r="AI158" s="75"/>
      <c r="AJ158" s="76"/>
      <c r="AK158" s="77"/>
      <c r="AL158" s="77"/>
      <c r="AM158" s="74"/>
      <c r="AN158" s="75"/>
      <c r="AO158" s="78"/>
      <c r="AP158" s="74"/>
      <c r="AQ158" s="63"/>
      <c r="AR158" s="257"/>
      <c r="AS158" s="80"/>
      <c r="AT158" s="68"/>
      <c r="AU158" s="68"/>
      <c r="AV158" s="68"/>
      <c r="AW158" s="68"/>
      <c r="AX158" s="258"/>
      <c r="AY158" s="83"/>
      <c r="AZ158" s="311"/>
      <c r="BA158" s="64"/>
      <c r="BB158" s="63"/>
      <c r="BC158" s="86"/>
      <c r="BD158" s="139"/>
      <c r="BE158" s="511"/>
      <c r="BF158" s="703"/>
      <c r="BG158" s="841"/>
      <c r="BH158" s="93"/>
      <c r="BI158" s="91"/>
      <c r="BJ158" s="93"/>
      <c r="BK158" s="748"/>
      <c r="BL158" s="748"/>
      <c r="BM158" s="748"/>
      <c r="BN158" s="91"/>
      <c r="BO158" s="91"/>
      <c r="BP158" s="94"/>
      <c r="BQ158" s="95"/>
      <c r="BR158" s="1856"/>
      <c r="BS158" s="1857"/>
      <c r="BT158" s="1858"/>
      <c r="BU158" s="1935"/>
      <c r="BV158" s="1917"/>
      <c r="BW158" s="215"/>
      <c r="BX158" s="214"/>
      <c r="BY158" s="621"/>
      <c r="BZ158" s="101"/>
      <c r="CA158" s="102"/>
      <c r="CB158" s="103"/>
      <c r="CC158" s="104"/>
      <c r="CD158" s="105"/>
      <c r="CE158" s="718"/>
      <c r="CF158" s="719"/>
      <c r="CG158" s="719"/>
      <c r="CH158" s="720"/>
      <c r="CI158" s="721"/>
      <c r="CJ158" s="111"/>
      <c r="CK158" s="111"/>
    </row>
    <row r="159" spans="1:89" ht="33" hidden="1" customHeight="1">
      <c r="A159" s="59"/>
      <c r="B159" s="247"/>
      <c r="C159" s="247"/>
      <c r="D159" s="62"/>
      <c r="E159" s="62"/>
      <c r="F159" s="247"/>
      <c r="G159" s="80"/>
      <c r="H159" s="80"/>
      <c r="I159" s="80"/>
      <c r="J159" s="80"/>
      <c r="K159" s="629"/>
      <c r="L159" s="80"/>
      <c r="M159" s="68"/>
      <c r="N159" s="68"/>
      <c r="O159" s="372"/>
      <c r="P159" s="70"/>
      <c r="Q159" s="64"/>
      <c r="R159" s="70"/>
      <c r="S159" s="249"/>
      <c r="T159" s="64"/>
      <c r="U159" s="70"/>
      <c r="V159" s="372"/>
      <c r="W159" s="70"/>
      <c r="X159" s="70"/>
      <c r="Y159" s="842"/>
      <c r="Z159" s="70"/>
      <c r="AA159" s="372"/>
      <c r="AB159" s="70"/>
      <c r="AC159" s="251"/>
      <c r="AD159" s="274"/>
      <c r="AE159" s="319"/>
      <c r="AF159" s="288"/>
      <c r="AG159" s="454"/>
      <c r="AH159" s="74"/>
      <c r="AI159" s="75"/>
      <c r="AJ159" s="76"/>
      <c r="AK159" s="288"/>
      <c r="AL159" s="77"/>
      <c r="AM159" s="74"/>
      <c r="AN159" s="75"/>
      <c r="AO159" s="78"/>
      <c r="AP159" s="74"/>
      <c r="AQ159" s="63"/>
      <c r="AR159" s="257"/>
      <c r="AS159" s="112"/>
      <c r="AT159" s="68"/>
      <c r="AU159" s="68"/>
      <c r="AV159" s="68"/>
      <c r="AW159" s="68"/>
      <c r="AX159" s="258"/>
      <c r="AY159" s="83"/>
      <c r="AZ159" s="311"/>
      <c r="BA159" s="64"/>
      <c r="BB159" s="63"/>
      <c r="BC159" s="86"/>
      <c r="BD159" s="139"/>
      <c r="BE159" s="511"/>
      <c r="BF159" s="703"/>
      <c r="BG159" s="513"/>
      <c r="BH159" s="93"/>
      <c r="BI159" s="91"/>
      <c r="BJ159" s="93"/>
      <c r="BK159" s="748"/>
      <c r="BL159" s="748"/>
      <c r="BM159" s="748"/>
      <c r="BN159" s="91"/>
      <c r="BO159" s="91"/>
      <c r="BP159" s="94"/>
      <c r="BQ159" s="95"/>
      <c r="BR159" s="1856"/>
      <c r="BS159" s="1857"/>
      <c r="BT159" s="1858"/>
      <c r="BU159" s="1935"/>
      <c r="BV159" s="1917"/>
      <c r="BW159" s="215"/>
      <c r="BX159" s="214"/>
      <c r="BY159" s="621"/>
      <c r="BZ159" s="101"/>
      <c r="CA159" s="102"/>
      <c r="CB159" s="103"/>
      <c r="CC159" s="104"/>
      <c r="CD159" s="105"/>
      <c r="CE159" s="718"/>
      <c r="CF159" s="719"/>
      <c r="CG159" s="719"/>
      <c r="CH159" s="720"/>
      <c r="CI159" s="721"/>
      <c r="CJ159" s="111"/>
    </row>
    <row r="160" spans="1:89" ht="33" hidden="1" customHeight="1" outlineLevel="1">
      <c r="A160" s="59"/>
      <c r="B160" s="247"/>
      <c r="C160" s="247"/>
      <c r="D160" s="62"/>
      <c r="E160" s="62"/>
      <c r="F160" s="247"/>
      <c r="G160" s="80"/>
      <c r="H160" s="80"/>
      <c r="I160" s="80"/>
      <c r="J160" s="80"/>
      <c r="K160" s="1851"/>
      <c r="L160" s="80"/>
      <c r="M160" s="68"/>
      <c r="N160" s="68"/>
      <c r="O160" s="372"/>
      <c r="P160" s="70"/>
      <c r="Q160" s="70"/>
      <c r="R160" s="70"/>
      <c r="S160" s="249"/>
      <c r="T160" s="64"/>
      <c r="U160" s="70"/>
      <c r="V160" s="69"/>
      <c r="W160" s="70"/>
      <c r="X160" s="70"/>
      <c r="Y160" s="64"/>
      <c r="Z160" s="70"/>
      <c r="AA160" s="372"/>
      <c r="AB160" s="70"/>
      <c r="AC160" s="251"/>
      <c r="AD160" s="274"/>
      <c r="AE160" s="319"/>
      <c r="AF160" s="288"/>
      <c r="AG160" s="454"/>
      <c r="AH160" s="74"/>
      <c r="AI160" s="75"/>
      <c r="AJ160" s="319"/>
      <c r="AK160" s="288"/>
      <c r="AL160" s="288"/>
      <c r="AM160" s="74"/>
      <c r="AN160" s="75"/>
      <c r="AO160" s="78"/>
      <c r="AP160" s="74"/>
      <c r="AQ160" s="63"/>
      <c r="AR160" s="257"/>
      <c r="AS160" s="112"/>
      <c r="AT160" s="68"/>
      <c r="AU160" s="68"/>
      <c r="AV160" s="68"/>
      <c r="AW160" s="68"/>
      <c r="AX160" s="258"/>
      <c r="AY160" s="83"/>
      <c r="AZ160" s="311"/>
      <c r="BA160" s="64"/>
      <c r="BB160" s="63"/>
      <c r="BC160" s="86"/>
      <c r="BD160" s="139"/>
      <c r="BE160" s="511"/>
      <c r="BF160" s="703"/>
      <c r="BG160" s="513"/>
      <c r="BH160" s="93"/>
      <c r="BI160" s="91"/>
      <c r="BJ160" s="93"/>
      <c r="BK160" s="748"/>
      <c r="BL160" s="748"/>
      <c r="BM160" s="748"/>
      <c r="BN160" s="91"/>
      <c r="BO160" s="91"/>
      <c r="BP160" s="94"/>
      <c r="BQ160" s="95"/>
      <c r="BR160" s="1856"/>
      <c r="BS160" s="1857"/>
      <c r="BT160" s="1858"/>
      <c r="BU160" s="1935"/>
      <c r="BV160" s="1917"/>
      <c r="BW160" s="215"/>
      <c r="BX160" s="214"/>
      <c r="BY160" s="621"/>
      <c r="BZ160" s="101"/>
      <c r="CA160" s="102"/>
      <c r="CB160" s="103"/>
      <c r="CC160" s="104"/>
      <c r="CD160" s="105"/>
      <c r="CE160" s="718"/>
      <c r="CF160" s="719"/>
      <c r="CG160" s="719"/>
      <c r="CH160" s="720"/>
      <c r="CI160" s="721"/>
      <c r="CJ160" s="111"/>
    </row>
    <row r="161" spans="1:89" ht="33" customHeight="1" outlineLevel="1">
      <c r="A161" s="59"/>
      <c r="B161" s="247"/>
      <c r="C161" s="247"/>
      <c r="D161" s="61"/>
      <c r="E161" s="62"/>
      <c r="F161" s="247"/>
      <c r="G161" s="80"/>
      <c r="H161" s="80"/>
      <c r="I161" s="80"/>
      <c r="J161" s="80"/>
      <c r="K161" s="271"/>
      <c r="L161" s="80"/>
      <c r="M161" s="68"/>
      <c r="N161" s="68"/>
      <c r="O161" s="69"/>
      <c r="P161" s="70"/>
      <c r="Q161" s="70"/>
      <c r="R161" s="70"/>
      <c r="S161" s="249"/>
      <c r="T161" s="64"/>
      <c r="U161" s="70"/>
      <c r="V161" s="69"/>
      <c r="W161" s="70"/>
      <c r="X161" s="70"/>
      <c r="Y161" s="64"/>
      <c r="Z161" s="70"/>
      <c r="AA161" s="272"/>
      <c r="AB161" s="70"/>
      <c r="AC161" s="251"/>
      <c r="AD161" s="274"/>
      <c r="AE161" s="319"/>
      <c r="AF161" s="288"/>
      <c r="AG161" s="135"/>
      <c r="AH161" s="74"/>
      <c r="AI161" s="75"/>
      <c r="AJ161" s="319"/>
      <c r="AK161" s="288"/>
      <c r="AL161" s="288"/>
      <c r="AM161" s="74"/>
      <c r="AN161" s="75"/>
      <c r="AO161" s="78"/>
      <c r="AP161" s="74"/>
      <c r="AQ161" s="63"/>
      <c r="AR161" s="257"/>
      <c r="AS161" s="112"/>
      <c r="AT161" s="68"/>
      <c r="AU161" s="68"/>
      <c r="AV161" s="68"/>
      <c r="AW161" s="68"/>
      <c r="AX161" s="258"/>
      <c r="AY161" s="83"/>
      <c r="AZ161" s="311"/>
      <c r="BA161" s="64"/>
      <c r="BB161" s="63"/>
      <c r="BC161" s="86"/>
      <c r="BD161" s="139"/>
      <c r="BE161" s="511"/>
      <c r="BF161" s="703"/>
      <c r="BG161" s="513"/>
      <c r="BH161" s="93"/>
      <c r="BI161" s="91"/>
      <c r="BJ161" s="93"/>
      <c r="BK161" s="748"/>
      <c r="BL161" s="748"/>
      <c r="BM161" s="748"/>
      <c r="BN161" s="91"/>
      <c r="BO161" s="91"/>
      <c r="BP161" s="94"/>
      <c r="BQ161" s="95"/>
      <c r="BR161" s="1860"/>
      <c r="BS161" s="1861"/>
      <c r="BT161" s="1862"/>
      <c r="BU161" s="1936"/>
      <c r="BV161" s="1918"/>
      <c r="BW161" s="215"/>
      <c r="BX161" s="214"/>
      <c r="BY161" s="621"/>
      <c r="BZ161" s="101"/>
      <c r="CA161" s="102"/>
      <c r="CB161" s="103"/>
      <c r="CC161" s="104"/>
      <c r="CD161" s="105"/>
      <c r="CE161" s="718"/>
      <c r="CF161" s="719"/>
      <c r="CG161" s="719"/>
      <c r="CH161" s="720"/>
      <c r="CI161" s="721"/>
      <c r="CJ161" s="111"/>
    </row>
    <row r="162" spans="1:89" ht="33.75" customHeight="1">
      <c r="A162" s="148" t="s">
        <v>86</v>
      </c>
      <c r="B162" s="149">
        <f>COUNTIF(A157:A161,$B$1)</f>
        <v>1</v>
      </c>
      <c r="C162" s="150"/>
      <c r="D162" s="151"/>
      <c r="E162" s="151"/>
      <c r="F162" s="151"/>
      <c r="G162" s="152">
        <f>SUMIF(A157:A161,$B$1,G157:G161)</f>
        <v>9.1999999999999993</v>
      </c>
      <c r="H162" s="152">
        <f>SUMIF(A157:A161,$B$1,H157:H161)</f>
        <v>9.1999999999999993</v>
      </c>
      <c r="I162" s="152">
        <f>SUM(I157:I161)</f>
        <v>184</v>
      </c>
      <c r="J162" s="152"/>
      <c r="K162" s="152"/>
      <c r="L162" s="153">
        <f ca="1">SUMIF(A157:A161,$B$1,L157:L161)</f>
        <v>9.1999999999999993</v>
      </c>
      <c r="M162" s="152"/>
      <c r="N162" s="152"/>
      <c r="O162" s="152"/>
      <c r="P162" s="152"/>
      <c r="Q162" s="152"/>
      <c r="R162" s="152"/>
      <c r="S162" s="152"/>
      <c r="T162" s="152"/>
      <c r="U162" s="152"/>
      <c r="V162" s="151"/>
      <c r="W162" s="151"/>
      <c r="X162" s="151"/>
      <c r="Y162" s="152"/>
      <c r="Z162" s="152"/>
      <c r="AA162" s="151"/>
      <c r="AB162" s="151"/>
      <c r="AC162" s="151"/>
      <c r="AD162" s="151"/>
      <c r="AE162" s="154"/>
      <c r="AF162" s="155"/>
      <c r="AG162" s="156"/>
      <c r="AH162" s="152"/>
      <c r="AI162" s="157"/>
      <c r="AJ162" s="730"/>
      <c r="AK162" s="156"/>
      <c r="AL162" s="156"/>
      <c r="AM162" s="152"/>
      <c r="AN162" s="157"/>
      <c r="AO162" s="297">
        <f>COUNTA(AO157:AO161)</f>
        <v>1</v>
      </c>
      <c r="AP162" s="152"/>
      <c r="AQ162" s="152"/>
      <c r="AR162" s="161"/>
      <c r="AS162" s="151"/>
      <c r="AT162" s="151"/>
      <c r="AU162" s="151"/>
      <c r="AV162" s="151"/>
      <c r="AW162" s="151"/>
      <c r="AX162" s="151"/>
      <c r="AY162" s="151"/>
      <c r="AZ162" s="163">
        <f>SUM(AZ157:AZ161)</f>
        <v>20</v>
      </c>
      <c r="BA162" s="163">
        <f>SUM(BA157:BA161)</f>
        <v>340</v>
      </c>
      <c r="BB162" s="163">
        <f>SUM(BB157:BB161)</f>
        <v>10.8</v>
      </c>
      <c r="BC162" s="221">
        <f>IF(COUNT(BC157:BC161)=0,"-",AVERAGE(BC157:BC161))</f>
        <v>2.1739130434782612</v>
      </c>
      <c r="BD162" s="165"/>
      <c r="BE162" s="340"/>
      <c r="BF162" s="340"/>
      <c r="BG162" s="341"/>
      <c r="BH162" s="341"/>
      <c r="BI162" s="341"/>
      <c r="BJ162" s="341"/>
      <c r="BK162" s="341"/>
      <c r="BL162" s="341"/>
      <c r="BM162" s="341"/>
      <c r="BN162" s="341"/>
      <c r="BO162" s="341"/>
      <c r="BP162" s="300"/>
      <c r="BQ162" s="844"/>
      <c r="BR162" s="1868">
        <f>COUNTIF(BR157:BR161,"&gt;0")</f>
        <v>1</v>
      </c>
      <c r="BS162" s="1869"/>
      <c r="BT162" s="1870">
        <f>COUNTIF(BT157:BT161,"&gt;0")</f>
        <v>1</v>
      </c>
      <c r="BU162" s="1937"/>
      <c r="BV162" s="1871"/>
      <c r="BW162" s="345">
        <f>SUM(BW157:BW160)</f>
        <v>0</v>
      </c>
      <c r="BX162" s="462">
        <f>SUM(BX157:BX160)</f>
        <v>0</v>
      </c>
      <c r="BY162" s="847"/>
      <c r="BZ162" s="171"/>
      <c r="CA162" s="577"/>
      <c r="CB162" s="173">
        <f>AO162</f>
        <v>1</v>
      </c>
      <c r="CC162" s="173">
        <f>COUNTIF(CC157:CC161,"=0")</f>
        <v>0</v>
      </c>
      <c r="CD162" s="174">
        <f>SUM(COUNTIF(CC157:CC161,"&lt;0"),COUNTIF(CC157:CC161,"&gt;0"))</f>
        <v>0</v>
      </c>
      <c r="CE162" s="848"/>
      <c r="CF162" s="176"/>
      <c r="CG162" s="176"/>
      <c r="CH162" s="577"/>
      <c r="CI162" s="731"/>
      <c r="CJ162" s="715"/>
    </row>
    <row r="163" spans="1:89" ht="33.75" customHeight="1">
      <c r="A163" s="179" t="s">
        <v>87</v>
      </c>
      <c r="B163" s="348">
        <f>COUNT(A157:A161)</f>
        <v>1</v>
      </c>
      <c r="C163" s="181"/>
      <c r="D163" s="182"/>
      <c r="E163" s="182"/>
      <c r="F163" s="182"/>
      <c r="G163" s="184">
        <f>SUM(G157:G161)</f>
        <v>9.1999999999999993</v>
      </c>
      <c r="H163" s="184">
        <f>SUMIF(A157:A161,"&gt;0",H157:H161)</f>
        <v>9.1999999999999993</v>
      </c>
      <c r="I163" s="184"/>
      <c r="J163" s="184">
        <f>SUM(J157:J161)</f>
        <v>184</v>
      </c>
      <c r="K163" s="184"/>
      <c r="L163" s="184"/>
      <c r="M163" s="184"/>
      <c r="N163" s="184"/>
      <c r="O163" s="184"/>
      <c r="P163" s="184"/>
      <c r="Q163" s="184"/>
      <c r="R163" s="184"/>
      <c r="S163" s="185"/>
      <c r="T163" s="185">
        <f>SUMIF(AG157:AG161,"перех.",T157:T161)</f>
        <v>0</v>
      </c>
      <c r="U163" s="185"/>
      <c r="V163" s="182"/>
      <c r="W163" s="182"/>
      <c r="X163" s="182"/>
      <c r="Y163" s="185">
        <f>SUMIF(AM157:AM161,"перех.",Y157:Y161)</f>
        <v>0</v>
      </c>
      <c r="Z163" s="185"/>
      <c r="AA163" s="182"/>
      <c r="AB163" s="182"/>
      <c r="AC163" s="182"/>
      <c r="AD163" s="182"/>
      <c r="AE163" s="186"/>
      <c r="AF163" s="186"/>
      <c r="AG163" s="186"/>
      <c r="AH163" s="184">
        <f>COUNT(AI157:AI161)</f>
        <v>0</v>
      </c>
      <c r="AI163" s="184">
        <f>SUM(AI157:AI161)</f>
        <v>0</v>
      </c>
      <c r="AJ163" s="186"/>
      <c r="AK163" s="186"/>
      <c r="AL163" s="186"/>
      <c r="AM163" s="184"/>
      <c r="AN163" s="184"/>
      <c r="AO163" s="182"/>
      <c r="AP163" s="182"/>
      <c r="AQ163" s="182"/>
      <c r="AR163" s="187"/>
      <c r="AS163" s="182"/>
      <c r="AT163" s="182"/>
      <c r="AU163" s="182"/>
      <c r="AV163" s="182"/>
      <c r="AW163" s="182"/>
      <c r="AX163" s="182"/>
      <c r="AY163" s="182"/>
      <c r="AZ163" s="190"/>
      <c r="BA163" s="190"/>
      <c r="BB163" s="190"/>
      <c r="BC163" s="304"/>
      <c r="BD163" s="188">
        <f>SUM(BD157:BD161)</f>
        <v>156</v>
      </c>
      <c r="BE163" s="535"/>
      <c r="BF163" s="535"/>
      <c r="BG163" s="476"/>
      <c r="BH163" s="476"/>
      <c r="BI163" s="476"/>
      <c r="BJ163" s="476"/>
      <c r="BK163" s="476"/>
      <c r="BL163" s="476"/>
      <c r="BM163" s="476"/>
      <c r="BN163" s="476"/>
      <c r="BO163" s="476"/>
      <c r="BP163" s="476"/>
      <c r="BQ163" s="849"/>
      <c r="BR163" s="1875">
        <f>SUMIF(BR157:BR161,"&gt;0",BR157:BR161)</f>
        <v>15.5</v>
      </c>
      <c r="BS163" s="1873">
        <f>SUMIF(BS157:BS161,"&gt;0",BS157:BS161)</f>
        <v>310</v>
      </c>
      <c r="BT163" s="1873">
        <f>SUMIF(BT157:BT161,"&gt;0",BT157:BT161)</f>
        <v>10</v>
      </c>
      <c r="BU163" s="1938">
        <f>SUMIF(BU157:BU161,"&gt;0",BU157:BU161)</f>
        <v>170</v>
      </c>
      <c r="BV163" s="1876"/>
      <c r="BW163" s="852"/>
      <c r="BX163" s="852">
        <f>BX162</f>
        <v>0</v>
      </c>
      <c r="BY163" s="852"/>
      <c r="BZ163" s="360"/>
      <c r="CA163" s="230"/>
      <c r="CB163" s="197">
        <f>SUM(CB157:CB161)</f>
        <v>0</v>
      </c>
      <c r="CC163" s="197">
        <f>SUMIF(CC157:CC161,"=0",CD157:CD161)</f>
        <v>0</v>
      </c>
      <c r="CD163" s="198">
        <f>SUMIF(CC157:CC161,"&lt;&gt;0",CD157:CD161)</f>
        <v>0</v>
      </c>
      <c r="CE163" s="477"/>
      <c r="CF163" s="308"/>
      <c r="CG163" s="308"/>
      <c r="CH163" s="230"/>
      <c r="CI163" s="744"/>
      <c r="CJ163" s="715"/>
    </row>
    <row r="164" spans="1:89" ht="12.75" hidden="1" customHeight="1" outlineLevel="1">
      <c r="A164" s="693"/>
      <c r="B164" s="203"/>
      <c r="C164" s="203"/>
      <c r="D164" s="203"/>
      <c r="E164" s="203"/>
      <c r="F164" s="694"/>
      <c r="G164" s="203"/>
      <c r="H164" s="203"/>
      <c r="I164" s="203"/>
      <c r="J164" s="203"/>
      <c r="K164" s="203"/>
      <c r="L164" s="203"/>
      <c r="M164" s="203"/>
      <c r="N164" s="203"/>
      <c r="O164" s="203"/>
      <c r="P164" s="203"/>
      <c r="Q164" s="203"/>
      <c r="R164" s="203"/>
      <c r="S164" s="203"/>
      <c r="T164" s="203"/>
      <c r="U164" s="203"/>
      <c r="V164" s="203"/>
      <c r="W164" s="203"/>
      <c r="X164" s="203"/>
      <c r="Y164" s="203"/>
      <c r="Z164" s="203"/>
      <c r="AA164" s="203"/>
      <c r="AB164" s="203"/>
      <c r="AC164" s="203"/>
      <c r="AD164" s="694"/>
      <c r="AE164" s="695"/>
      <c r="AF164" s="696"/>
      <c r="AG164" s="696"/>
      <c r="AH164" s="697"/>
      <c r="AI164" s="697"/>
      <c r="AJ164" s="698"/>
      <c r="AK164" s="696"/>
      <c r="AL164" s="696"/>
      <c r="AM164" s="697"/>
      <c r="AN164" s="697"/>
      <c r="AO164" s="203"/>
      <c r="AP164" s="203"/>
      <c r="AQ164" s="203"/>
      <c r="AR164" s="203"/>
      <c r="AS164" s="203"/>
      <c r="AT164" s="203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4"/>
      <c r="BE164" s="699"/>
      <c r="BF164" s="700"/>
      <c r="BG164" s="700"/>
      <c r="BH164" s="700"/>
      <c r="BI164" s="700"/>
      <c r="BJ164" s="700"/>
      <c r="BK164" s="700"/>
      <c r="BL164" s="700"/>
      <c r="BM164" s="700"/>
      <c r="BN164" s="700"/>
      <c r="BO164" s="700"/>
      <c r="BP164" s="700"/>
      <c r="BR164" s="853"/>
      <c r="BS164" s="854"/>
      <c r="BT164" s="854"/>
      <c r="BU164" s="1939"/>
      <c r="BV164" s="855"/>
      <c r="BW164" s="856"/>
      <c r="BX164" s="856"/>
      <c r="BY164" s="856"/>
      <c r="BZ164" s="52"/>
      <c r="CA164" s="53"/>
      <c r="CB164" s="53"/>
      <c r="CC164" s="53"/>
      <c r="CD164" s="206"/>
      <c r="CI164" s="735"/>
      <c r="CJ164" s="715"/>
    </row>
    <row r="165" spans="1:89" ht="30" hidden="1" customHeight="1">
      <c r="A165" s="2144" t="s">
        <v>301</v>
      </c>
      <c r="B165" s="2149"/>
      <c r="C165" s="2149"/>
      <c r="D165" s="2149"/>
      <c r="E165" s="2149"/>
      <c r="F165" s="2149"/>
      <c r="G165" s="2149"/>
      <c r="H165" s="2149"/>
      <c r="I165" s="2149"/>
      <c r="J165" s="2149"/>
      <c r="K165" s="2149"/>
      <c r="L165" s="2149"/>
      <c r="M165" s="2149"/>
      <c r="N165" s="2149"/>
      <c r="O165" s="2149"/>
      <c r="P165" s="2149"/>
      <c r="Q165" s="2149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3"/>
      <c r="AE165" s="43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5"/>
      <c r="BE165" s="45"/>
      <c r="BF165" s="46"/>
      <c r="BG165" s="46"/>
      <c r="BH165" s="46"/>
      <c r="BI165" s="46"/>
      <c r="BJ165" s="46"/>
      <c r="BK165" s="46"/>
      <c r="BL165" s="46"/>
      <c r="BM165" s="46"/>
      <c r="BN165" s="46"/>
      <c r="BO165" s="46"/>
      <c r="BP165" s="364"/>
      <c r="BQ165" s="364"/>
      <c r="BR165" s="1812"/>
      <c r="BS165" s="1812"/>
      <c r="BT165" s="1812"/>
      <c r="BU165" s="1940"/>
      <c r="BV165" s="364"/>
      <c r="BW165" s="364"/>
      <c r="BX165" s="364"/>
      <c r="BY165" s="364"/>
      <c r="BZ165" s="364"/>
      <c r="CA165" s="365"/>
      <c r="CB165" s="365"/>
      <c r="CC165" s="365"/>
      <c r="CD165" s="244"/>
      <c r="CE165" s="365"/>
      <c r="CF165" s="365"/>
      <c r="CG165" s="365"/>
      <c r="CH165" s="365"/>
      <c r="CI165" s="369"/>
      <c r="CJ165" s="715"/>
    </row>
    <row r="166" spans="1:89" ht="30" hidden="1" customHeight="1">
      <c r="A166" s="484"/>
      <c r="B166" s="247"/>
      <c r="C166" s="247"/>
      <c r="D166" s="62"/>
      <c r="E166" s="62"/>
      <c r="F166" s="247"/>
      <c r="G166" s="80"/>
      <c r="H166" s="80"/>
      <c r="I166" s="80"/>
      <c r="J166" s="80"/>
      <c r="K166" s="66"/>
      <c r="L166" s="80"/>
      <c r="M166" s="252"/>
      <c r="N166" s="252"/>
      <c r="O166" s="287"/>
      <c r="P166" s="71"/>
      <c r="Q166" s="71"/>
      <c r="R166" s="71"/>
      <c r="S166" s="66"/>
      <c r="T166" s="630"/>
      <c r="U166" s="631"/>
      <c r="V166" s="287"/>
      <c r="W166" s="635"/>
      <c r="X166" s="635"/>
      <c r="Y166" s="63"/>
      <c r="Z166" s="71"/>
      <c r="AA166" s="372"/>
      <c r="AB166" s="71"/>
      <c r="AC166" s="537"/>
      <c r="AD166" s="274"/>
      <c r="AE166" s="253"/>
      <c r="AF166" s="135"/>
      <c r="AG166" s="454"/>
      <c r="AH166" s="74"/>
      <c r="AI166" s="75"/>
      <c r="AJ166" s="76"/>
      <c r="AK166" s="77"/>
      <c r="AL166" s="77"/>
      <c r="AM166" s="78"/>
      <c r="AN166" s="75"/>
      <c r="AO166" s="78"/>
      <c r="AP166" s="74"/>
      <c r="AQ166" s="256"/>
      <c r="AR166" s="614"/>
      <c r="AS166" s="80"/>
      <c r="AT166" s="80"/>
      <c r="AU166" s="68"/>
      <c r="AV166" s="247"/>
      <c r="AW166" s="68"/>
      <c r="AX166" s="373"/>
      <c r="AY166" s="83"/>
      <c r="AZ166" s="311"/>
      <c r="BA166" s="64"/>
      <c r="BB166" s="64"/>
      <c r="BC166" s="312"/>
      <c r="BD166" s="139"/>
      <c r="BE166" s="511"/>
      <c r="BF166" s="703"/>
      <c r="BG166" s="716"/>
      <c r="BH166" s="91"/>
      <c r="BI166" s="91"/>
      <c r="BJ166" s="93"/>
      <c r="BK166" s="748"/>
      <c r="BL166" s="748"/>
      <c r="BM166" s="748"/>
      <c r="BN166" s="91"/>
      <c r="BO166" s="91"/>
      <c r="BP166" s="94"/>
      <c r="BQ166" s="95"/>
      <c r="BR166" s="315"/>
      <c r="BS166" s="214"/>
      <c r="BT166" s="131"/>
      <c r="BU166" s="1923"/>
      <c r="BV166" s="99"/>
      <c r="BW166" s="215"/>
      <c r="BX166" s="214"/>
      <c r="BY166" s="621"/>
      <c r="BZ166" s="101"/>
      <c r="CA166" s="102"/>
      <c r="CB166" s="103"/>
      <c r="CC166" s="104"/>
      <c r="CD166" s="105"/>
      <c r="CE166" s="718"/>
      <c r="CF166" s="719"/>
      <c r="CG166" s="719"/>
      <c r="CH166" s="720"/>
      <c r="CI166" s="721"/>
      <c r="CJ166" s="715"/>
      <c r="CK166" s="111"/>
    </row>
    <row r="167" spans="1:89" ht="30" hidden="1" customHeight="1" outlineLevel="1">
      <c r="A167" s="484"/>
      <c r="B167" s="247"/>
      <c r="C167" s="247"/>
      <c r="D167" s="61"/>
      <c r="E167" s="62"/>
      <c r="F167" s="247"/>
      <c r="G167" s="80"/>
      <c r="H167" s="80"/>
      <c r="I167" s="80"/>
      <c r="J167" s="80"/>
      <c r="K167" s="66"/>
      <c r="L167" s="80"/>
      <c r="M167" s="68"/>
      <c r="N167" s="68"/>
      <c r="O167" s="70"/>
      <c r="P167" s="70"/>
      <c r="Q167" s="70"/>
      <c r="R167" s="70"/>
      <c r="S167" s="66"/>
      <c r="T167" s="64"/>
      <c r="U167" s="70"/>
      <c r="V167" s="272"/>
      <c r="W167" s="70"/>
      <c r="X167" s="70"/>
      <c r="Y167" s="64"/>
      <c r="Z167" s="70"/>
      <c r="AA167" s="372"/>
      <c r="AB167" s="70"/>
      <c r="AC167" s="251"/>
      <c r="AD167" s="274"/>
      <c r="AE167" s="253"/>
      <c r="AF167" s="454"/>
      <c r="AG167" s="454"/>
      <c r="AH167" s="74"/>
      <c r="AI167" s="75"/>
      <c r="AJ167" s="76"/>
      <c r="AK167" s="77"/>
      <c r="AL167" s="77"/>
      <c r="AM167" s="74"/>
      <c r="AN167" s="75"/>
      <c r="AO167" s="78"/>
      <c r="AP167" s="74"/>
      <c r="AQ167" s="256"/>
      <c r="AR167" s="614"/>
      <c r="AS167" s="80"/>
      <c r="AT167" s="247"/>
      <c r="AU167" s="247"/>
      <c r="AV167" s="68"/>
      <c r="AW167" s="68"/>
      <c r="AX167" s="258"/>
      <c r="AY167" s="83"/>
      <c r="AZ167" s="311"/>
      <c r="BA167" s="64"/>
      <c r="BB167" s="64"/>
      <c r="BC167" s="312"/>
      <c r="BD167" s="139"/>
      <c r="BE167" s="511"/>
      <c r="BF167" s="703"/>
      <c r="BG167" s="545"/>
      <c r="BH167" s="91"/>
      <c r="BI167" s="91"/>
      <c r="BJ167" s="93"/>
      <c r="BK167" s="748"/>
      <c r="BL167" s="748"/>
      <c r="BM167" s="748"/>
      <c r="BN167" s="91"/>
      <c r="BO167" s="91"/>
      <c r="BP167" s="94"/>
      <c r="BQ167" s="95"/>
      <c r="BR167" s="315"/>
      <c r="BS167" s="214"/>
      <c r="BT167" s="131"/>
      <c r="BU167" s="1923"/>
      <c r="BV167" s="99"/>
      <c r="BW167" s="215"/>
      <c r="BX167" s="214"/>
      <c r="BY167" s="621"/>
      <c r="BZ167" s="101"/>
      <c r="CA167" s="102"/>
      <c r="CB167" s="103"/>
      <c r="CC167" s="104"/>
      <c r="CD167" s="105"/>
      <c r="CE167" s="718"/>
      <c r="CF167" s="719"/>
      <c r="CG167" s="719"/>
      <c r="CH167" s="720"/>
      <c r="CI167" s="721"/>
      <c r="CJ167" s="715"/>
      <c r="CK167" s="111"/>
    </row>
    <row r="168" spans="1:89" ht="30" hidden="1" customHeight="1" outlineLevel="1">
      <c r="A168" s="484"/>
      <c r="B168" s="247"/>
      <c r="C168" s="247"/>
      <c r="D168" s="612"/>
      <c r="E168" s="62"/>
      <c r="F168" s="247"/>
      <c r="G168" s="80"/>
      <c r="H168" s="80"/>
      <c r="I168" s="80"/>
      <c r="J168" s="80"/>
      <c r="K168" s="271"/>
      <c r="L168" s="670"/>
      <c r="M168" s="68"/>
      <c r="N168" s="68"/>
      <c r="O168" s="70"/>
      <c r="P168" s="70"/>
      <c r="Q168" s="70"/>
      <c r="R168" s="70"/>
      <c r="S168" s="249"/>
      <c r="T168" s="250"/>
      <c r="U168" s="70"/>
      <c r="V168" s="70"/>
      <c r="W168" s="70"/>
      <c r="X168" s="70"/>
      <c r="Y168" s="64"/>
      <c r="Z168" s="70"/>
      <c r="AA168" s="372"/>
      <c r="AB168" s="70"/>
      <c r="AC168" s="251"/>
      <c r="AD168" s="274"/>
      <c r="AE168" s="724"/>
      <c r="AF168" s="454"/>
      <c r="AG168" s="454"/>
      <c r="AH168" s="74"/>
      <c r="AI168" s="75"/>
      <c r="AJ168" s="76"/>
      <c r="AK168" s="77"/>
      <c r="AL168" s="77"/>
      <c r="AM168" s="74"/>
      <c r="AN168" s="75"/>
      <c r="AO168" s="78"/>
      <c r="AP168" s="74"/>
      <c r="AQ168" s="256"/>
      <c r="AR168" s="614"/>
      <c r="AS168" s="80"/>
      <c r="AT168" s="247"/>
      <c r="AU168" s="247"/>
      <c r="AV168" s="68"/>
      <c r="AW168" s="68"/>
      <c r="AX168" s="258"/>
      <c r="AY168" s="83"/>
      <c r="AZ168" s="311"/>
      <c r="BA168" s="64"/>
      <c r="BB168" s="64"/>
      <c r="BC168" s="312"/>
      <c r="BD168" s="516"/>
      <c r="BE168" s="511"/>
      <c r="BF168" s="703"/>
      <c r="BG168" s="545"/>
      <c r="BH168" s="91"/>
      <c r="BI168" s="91"/>
      <c r="BJ168" s="93"/>
      <c r="BK168" s="748"/>
      <c r="BL168" s="748"/>
      <c r="BM168" s="748"/>
      <c r="BN168" s="91"/>
      <c r="BO168" s="91"/>
      <c r="BP168" s="94"/>
      <c r="BQ168" s="95"/>
      <c r="BR168" s="315"/>
      <c r="BS168" s="214"/>
      <c r="BT168" s="131"/>
      <c r="BU168" s="1923"/>
      <c r="BV168" s="99"/>
      <c r="BW168" s="215"/>
      <c r="BX168" s="214"/>
      <c r="BY168" s="621"/>
      <c r="BZ168" s="101"/>
      <c r="CA168" s="102"/>
      <c r="CB168" s="103"/>
      <c r="CC168" s="104"/>
      <c r="CD168" s="105"/>
      <c r="CE168" s="718"/>
      <c r="CF168" s="719"/>
      <c r="CG168" s="719"/>
      <c r="CH168" s="720"/>
      <c r="CI168" s="721"/>
      <c r="CJ168" s="715"/>
    </row>
    <row r="169" spans="1:89" ht="30" hidden="1" customHeight="1" outlineLevel="1">
      <c r="A169" s="484"/>
      <c r="B169" s="247"/>
      <c r="C169" s="247"/>
      <c r="D169" s="62"/>
      <c r="E169" s="62"/>
      <c r="F169" s="247"/>
      <c r="G169" s="80"/>
      <c r="H169" s="80"/>
      <c r="I169" s="80"/>
      <c r="J169" s="80"/>
      <c r="K169" s="271"/>
      <c r="L169" s="857"/>
      <c r="M169" s="68"/>
      <c r="N169" s="68"/>
      <c r="O169" s="70"/>
      <c r="P169" s="70"/>
      <c r="Q169" s="70"/>
      <c r="R169" s="70"/>
      <c r="S169" s="249"/>
      <c r="T169" s="64"/>
      <c r="U169" s="70"/>
      <c r="V169" s="70"/>
      <c r="W169" s="70"/>
      <c r="X169" s="70"/>
      <c r="Y169" s="64"/>
      <c r="Z169" s="70"/>
      <c r="AA169" s="250"/>
      <c r="AB169" s="70"/>
      <c r="AC169" s="251"/>
      <c r="AD169" s="274"/>
      <c r="AE169" s="858"/>
      <c r="AF169" s="275"/>
      <c r="AG169" s="381"/>
      <c r="AH169" s="74"/>
      <c r="AI169" s="75"/>
      <c r="AJ169" s="76"/>
      <c r="AK169" s="77"/>
      <c r="AL169" s="77"/>
      <c r="AM169" s="74"/>
      <c r="AN169" s="75"/>
      <c r="AO169" s="78"/>
      <c r="AP169" s="74"/>
      <c r="AQ169" s="256"/>
      <c r="AR169" s="614"/>
      <c r="AS169" s="66"/>
      <c r="AT169" s="247"/>
      <c r="AU169" s="247"/>
      <c r="AV169" s="247"/>
      <c r="AW169" s="68"/>
      <c r="AX169" s="258"/>
      <c r="AY169" s="843"/>
      <c r="AZ169" s="311"/>
      <c r="BA169" s="63"/>
      <c r="BB169" s="63"/>
      <c r="BC169" s="312"/>
      <c r="BD169" s="139"/>
      <c r="BE169" s="455"/>
      <c r="BF169" s="703"/>
      <c r="BG169" s="376"/>
      <c r="BH169" s="91"/>
      <c r="BI169" s="91"/>
      <c r="BJ169" s="91"/>
      <c r="BK169" s="91"/>
      <c r="BL169" s="91"/>
      <c r="BM169" s="91"/>
      <c r="BN169" s="91"/>
      <c r="BO169" s="94"/>
      <c r="BP169" s="94"/>
      <c r="BQ169" s="95"/>
      <c r="BR169" s="130"/>
      <c r="BS169" s="214"/>
      <c r="BT169" s="131"/>
      <c r="BU169" s="1923"/>
      <c r="BV169" s="99"/>
      <c r="BW169" s="284"/>
      <c r="BX169" s="214"/>
      <c r="BY169" s="214"/>
      <c r="BZ169" s="101"/>
      <c r="CA169" s="102"/>
      <c r="CB169" s="103"/>
      <c r="CC169" s="104"/>
      <c r="CD169" s="105"/>
      <c r="CE169" s="718"/>
      <c r="CF169" s="719"/>
      <c r="CG169" s="859"/>
      <c r="CH169" s="720"/>
      <c r="CI169" s="860"/>
      <c r="CJ169" s="715"/>
    </row>
    <row r="170" spans="1:89" ht="30" hidden="1" customHeight="1" outlineLevel="1">
      <c r="A170" s="310"/>
      <c r="B170" s="247"/>
      <c r="C170" s="247"/>
      <c r="D170" s="62"/>
      <c r="E170" s="62"/>
      <c r="F170" s="247"/>
      <c r="G170" s="80"/>
      <c r="H170" s="80"/>
      <c r="I170" s="80"/>
      <c r="J170" s="80"/>
      <c r="K170" s="271"/>
      <c r="L170" s="857"/>
      <c r="M170" s="68"/>
      <c r="N170" s="68"/>
      <c r="O170" s="70"/>
      <c r="P170" s="70"/>
      <c r="Q170" s="70"/>
      <c r="R170" s="70"/>
      <c r="S170" s="249"/>
      <c r="T170" s="250"/>
      <c r="U170" s="70"/>
      <c r="V170" s="70"/>
      <c r="W170" s="70"/>
      <c r="X170" s="70"/>
      <c r="Y170" s="64"/>
      <c r="Z170" s="70"/>
      <c r="AA170" s="70"/>
      <c r="AB170" s="70"/>
      <c r="AC170" s="251"/>
      <c r="AD170" s="274"/>
      <c r="AE170" s="73"/>
      <c r="AF170" s="275"/>
      <c r="AG170" s="275"/>
      <c r="AH170" s="74"/>
      <c r="AI170" s="75"/>
      <c r="AJ170" s="76"/>
      <c r="AK170" s="77"/>
      <c r="AL170" s="77"/>
      <c r="AM170" s="74"/>
      <c r="AN170" s="75"/>
      <c r="AO170" s="78"/>
      <c r="AP170" s="74"/>
      <c r="AQ170" s="256"/>
      <c r="AR170" s="614"/>
      <c r="AS170" s="65"/>
      <c r="AT170" s="247"/>
      <c r="AU170" s="247"/>
      <c r="AV170" s="247"/>
      <c r="AW170" s="317"/>
      <c r="AX170" s="387"/>
      <c r="AY170" s="861"/>
      <c r="AZ170" s="84"/>
      <c r="BA170" s="64"/>
      <c r="BB170" s="63"/>
      <c r="BC170" s="862"/>
      <c r="BD170" s="139"/>
      <c r="BE170" s="455"/>
      <c r="BF170" s="703"/>
      <c r="BG170" s="748"/>
      <c r="BH170" s="93"/>
      <c r="BI170" s="91"/>
      <c r="BJ170" s="93"/>
      <c r="BK170" s="748"/>
      <c r="BL170" s="748"/>
      <c r="BM170" s="748"/>
      <c r="BN170" s="91"/>
      <c r="BO170" s="94"/>
      <c r="BP170" s="94"/>
      <c r="BQ170" s="95"/>
      <c r="BR170" s="130"/>
      <c r="BS170" s="214"/>
      <c r="BT170" s="131"/>
      <c r="BU170" s="1923"/>
      <c r="BV170" s="99"/>
      <c r="BW170" s="385"/>
      <c r="BX170" s="214"/>
      <c r="BY170" s="214"/>
      <c r="BZ170" s="101"/>
      <c r="CA170" s="102"/>
      <c r="CB170" s="103"/>
      <c r="CC170" s="125"/>
      <c r="CD170" s="105"/>
      <c r="CE170" s="718"/>
      <c r="CF170" s="719"/>
      <c r="CG170" s="719"/>
      <c r="CH170" s="720"/>
      <c r="CI170" s="721"/>
      <c r="CJ170" s="715"/>
    </row>
    <row r="171" spans="1:89" ht="30" hidden="1" customHeight="1" outlineLevel="1">
      <c r="A171" s="310"/>
      <c r="B171" s="247"/>
      <c r="C171" s="247"/>
      <c r="D171" s="62"/>
      <c r="E171" s="62"/>
      <c r="F171" s="247"/>
      <c r="G171" s="80"/>
      <c r="H171" s="322"/>
      <c r="I171" s="80"/>
      <c r="J171" s="80"/>
      <c r="K171" s="271"/>
      <c r="L171" s="857"/>
      <c r="M171" s="68"/>
      <c r="N171" s="68"/>
      <c r="O171" s="272"/>
      <c r="P171" s="70"/>
      <c r="Q171" s="70"/>
      <c r="R171" s="70"/>
      <c r="S171" s="249"/>
      <c r="T171" s="64"/>
      <c r="U171" s="70"/>
      <c r="V171" s="70"/>
      <c r="W171" s="70"/>
      <c r="X171" s="70"/>
      <c r="Y171" s="64"/>
      <c r="Z171" s="70"/>
      <c r="AA171" s="70"/>
      <c r="AB171" s="70"/>
      <c r="AC171" s="251"/>
      <c r="AD171" s="274"/>
      <c r="AE171" s="73"/>
      <c r="AF171" s="454"/>
      <c r="AG171" s="454"/>
      <c r="AH171" s="74"/>
      <c r="AI171" s="75"/>
      <c r="AJ171" s="319"/>
      <c r="AK171" s="319"/>
      <c r="AL171" s="319"/>
      <c r="AM171" s="74"/>
      <c r="AN171" s="75"/>
      <c r="AO171" s="78"/>
      <c r="AP171" s="74"/>
      <c r="AQ171" s="256"/>
      <c r="AR171" s="614"/>
      <c r="AS171" s="80"/>
      <c r="AT171" s="247"/>
      <c r="AU171" s="247"/>
      <c r="AV171" s="247"/>
      <c r="AW171" s="317"/>
      <c r="AX171" s="387"/>
      <c r="AY171" s="861"/>
      <c r="AZ171" s="84"/>
      <c r="BA171" s="64"/>
      <c r="BB171" s="64"/>
      <c r="BC171" s="64"/>
      <c r="BD171" s="516"/>
      <c r="BE171" s="455"/>
      <c r="BF171" s="703"/>
      <c r="BG171" s="90"/>
      <c r="BH171" s="93"/>
      <c r="BI171" s="91"/>
      <c r="BJ171" s="93"/>
      <c r="BK171" s="748"/>
      <c r="BL171" s="748"/>
      <c r="BM171" s="748"/>
      <c r="BN171" s="91"/>
      <c r="BO171" s="94"/>
      <c r="BP171" s="94"/>
      <c r="BQ171" s="95"/>
      <c r="BR171" s="130"/>
      <c r="BS171" s="214"/>
      <c r="BT171" s="131"/>
      <c r="BU171" s="1923"/>
      <c r="BV171" s="99"/>
      <c r="BW171" s="130"/>
      <c r="BX171" s="131"/>
      <c r="BY171" s="131"/>
      <c r="BZ171" s="101"/>
      <c r="CA171" s="102"/>
      <c r="CB171" s="103"/>
      <c r="CC171" s="104"/>
      <c r="CD171" s="105"/>
      <c r="CE171" s="718"/>
      <c r="CF171" s="719"/>
      <c r="CG171" s="719"/>
      <c r="CH171" s="720"/>
      <c r="CI171" s="721"/>
      <c r="CJ171" s="715"/>
    </row>
    <row r="172" spans="1:89" ht="30" hidden="1" customHeight="1" outlineLevel="1">
      <c r="A172" s="831"/>
      <c r="B172" s="247"/>
      <c r="C172" s="247"/>
      <c r="D172" s="62"/>
      <c r="E172" s="62"/>
      <c r="F172" s="247"/>
      <c r="G172" s="80"/>
      <c r="H172" s="80"/>
      <c r="I172" s="80"/>
      <c r="J172" s="80"/>
      <c r="K172" s="271"/>
      <c r="L172" s="857"/>
      <c r="M172" s="68"/>
      <c r="N172" s="68"/>
      <c r="O172" s="272"/>
      <c r="P172" s="70"/>
      <c r="Q172" s="70"/>
      <c r="R172" s="70"/>
      <c r="S172" s="249"/>
      <c r="T172" s="64"/>
      <c r="U172" s="70"/>
      <c r="V172" s="70"/>
      <c r="W172" s="70"/>
      <c r="X172" s="70"/>
      <c r="Y172" s="64"/>
      <c r="Z172" s="70"/>
      <c r="AA172" s="70"/>
      <c r="AB172" s="70"/>
      <c r="AC172" s="251"/>
      <c r="AD172" s="274"/>
      <c r="AE172" s="135"/>
      <c r="AF172" s="381"/>
      <c r="AG172" s="381"/>
      <c r="AH172" s="74"/>
      <c r="AI172" s="75"/>
      <c r="AJ172" s="319"/>
      <c r="AK172" s="319"/>
      <c r="AL172" s="319"/>
      <c r="AM172" s="74"/>
      <c r="AN172" s="75"/>
      <c r="AO172" s="78"/>
      <c r="AP172" s="74"/>
      <c r="AQ172" s="256"/>
      <c r="AR172" s="614"/>
      <c r="AS172" s="80"/>
      <c r="AT172" s="247"/>
      <c r="AU172" s="247"/>
      <c r="AV172" s="247"/>
      <c r="AW172" s="317"/>
      <c r="AX172" s="387"/>
      <c r="AY172" s="861"/>
      <c r="AZ172" s="84"/>
      <c r="BA172" s="64"/>
      <c r="BB172" s="64"/>
      <c r="BC172" s="64"/>
      <c r="BD172" s="516"/>
      <c r="BE172" s="455"/>
      <c r="BF172" s="703"/>
      <c r="BG172" s="513"/>
      <c r="BH172" s="93"/>
      <c r="BI172" s="91"/>
      <c r="BJ172" s="93"/>
      <c r="BK172" s="748"/>
      <c r="BL172" s="748"/>
      <c r="BM172" s="748"/>
      <c r="BN172" s="91"/>
      <c r="BO172" s="94"/>
      <c r="BP172" s="94"/>
      <c r="BQ172" s="95"/>
      <c r="BR172" s="130"/>
      <c r="BS172" s="131"/>
      <c r="BT172" s="131"/>
      <c r="BU172" s="1922"/>
      <c r="BV172" s="99"/>
      <c r="BW172" s="385"/>
      <c r="BX172" s="214"/>
      <c r="BY172" s="214"/>
      <c r="BZ172" s="101"/>
      <c r="CA172" s="102"/>
      <c r="CB172" s="103"/>
      <c r="CC172" s="125"/>
      <c r="CD172" s="105"/>
      <c r="CE172" s="718"/>
      <c r="CF172" s="719"/>
      <c r="CG172" s="719"/>
      <c r="CH172" s="720"/>
      <c r="CI172" s="721"/>
      <c r="CJ172" s="715"/>
    </row>
    <row r="173" spans="1:89" ht="30" hidden="1" customHeight="1" outlineLevel="1">
      <c r="A173" s="831"/>
      <c r="B173" s="247"/>
      <c r="C173" s="247"/>
      <c r="D173" s="62"/>
      <c r="E173" s="62"/>
      <c r="F173" s="247"/>
      <c r="G173" s="80"/>
      <c r="H173" s="80"/>
      <c r="I173" s="80"/>
      <c r="J173" s="80"/>
      <c r="K173" s="271"/>
      <c r="L173" s="322"/>
      <c r="M173" s="68"/>
      <c r="N173" s="68"/>
      <c r="O173" s="70"/>
      <c r="P173" s="70"/>
      <c r="Q173" s="70"/>
      <c r="R173" s="70"/>
      <c r="S173" s="249"/>
      <c r="T173" s="64"/>
      <c r="U173" s="70"/>
      <c r="V173" s="70"/>
      <c r="W173" s="70"/>
      <c r="X173" s="70"/>
      <c r="Y173" s="64"/>
      <c r="Z173" s="70"/>
      <c r="AA173" s="70"/>
      <c r="AB173" s="70"/>
      <c r="AC173" s="251"/>
      <c r="AD173" s="274"/>
      <c r="AE173" s="73"/>
      <c r="AF173" s="275"/>
      <c r="AG173" s="275"/>
      <c r="AH173" s="74"/>
      <c r="AI173" s="75"/>
      <c r="AJ173" s="724"/>
      <c r="AK173" s="319"/>
      <c r="AL173" s="319"/>
      <c r="AM173" s="74"/>
      <c r="AN173" s="75"/>
      <c r="AO173" s="78"/>
      <c r="AP173" s="289"/>
      <c r="AQ173" s="256"/>
      <c r="AR173" s="614"/>
      <c r="AS173" s="271"/>
      <c r="AT173" s="247"/>
      <c r="AU173" s="247"/>
      <c r="AV173" s="247"/>
      <c r="AW173" s="317"/>
      <c r="AX173" s="387"/>
      <c r="AY173" s="843"/>
      <c r="AZ173" s="84"/>
      <c r="BA173" s="64"/>
      <c r="BB173" s="64"/>
      <c r="BC173" s="250"/>
      <c r="BD173" s="516"/>
      <c r="BE173" s="511"/>
      <c r="BF173" s="703"/>
      <c r="BG173" s="513"/>
      <c r="BH173" s="91"/>
      <c r="BI173" s="91"/>
      <c r="BJ173" s="91"/>
      <c r="BK173" s="91"/>
      <c r="BL173" s="91"/>
      <c r="BM173" s="91"/>
      <c r="BN173" s="91"/>
      <c r="BO173" s="94"/>
      <c r="BP173" s="94"/>
      <c r="BQ173" s="95"/>
      <c r="BR173" s="130"/>
      <c r="BS173" s="131"/>
      <c r="BT173" s="131"/>
      <c r="BU173" s="1922"/>
      <c r="BV173" s="99"/>
      <c r="BW173" s="284"/>
      <c r="BX173" s="214"/>
      <c r="BY173" s="214"/>
      <c r="BZ173" s="101"/>
      <c r="CA173" s="102"/>
      <c r="CB173" s="103"/>
      <c r="CC173" s="104"/>
      <c r="CD173" s="105"/>
      <c r="CE173" s="718"/>
      <c r="CF173" s="719"/>
      <c r="CG173" s="859"/>
      <c r="CH173" s="720"/>
      <c r="CI173" s="721"/>
      <c r="CJ173" s="715"/>
    </row>
    <row r="174" spans="1:89" ht="30" hidden="1" customHeight="1" outlineLevel="1">
      <c r="A174" s="831"/>
      <c r="B174" s="247"/>
      <c r="C174" s="247"/>
      <c r="D174" s="62"/>
      <c r="E174" s="62"/>
      <c r="F174" s="247"/>
      <c r="G174" s="80"/>
      <c r="H174" s="80"/>
      <c r="I174" s="80"/>
      <c r="J174" s="80"/>
      <c r="K174" s="249"/>
      <c r="L174" s="857"/>
      <c r="M174" s="68"/>
      <c r="N174" s="68"/>
      <c r="O174" s="70"/>
      <c r="P174" s="70"/>
      <c r="Q174" s="70"/>
      <c r="R174" s="70"/>
      <c r="S174" s="249"/>
      <c r="T174" s="250"/>
      <c r="U174" s="70"/>
      <c r="V174" s="70"/>
      <c r="W174" s="70"/>
      <c r="X174" s="70"/>
      <c r="Y174" s="250"/>
      <c r="Z174" s="70"/>
      <c r="AA174" s="70"/>
      <c r="AB174" s="70"/>
      <c r="AC174" s="251"/>
      <c r="AD174" s="274"/>
      <c r="AE174" s="135"/>
      <c r="AF174" s="135"/>
      <c r="AG174" s="135"/>
      <c r="AH174" s="74"/>
      <c r="AI174" s="75"/>
      <c r="AJ174" s="319"/>
      <c r="AK174" s="319"/>
      <c r="AL174" s="319"/>
      <c r="AM174" s="74"/>
      <c r="AN174" s="75"/>
      <c r="AO174" s="78"/>
      <c r="AP174" s="74"/>
      <c r="AQ174" s="256"/>
      <c r="AR174" s="614"/>
      <c r="AS174" s="80"/>
      <c r="AT174" s="247"/>
      <c r="AU174" s="247"/>
      <c r="AV174" s="247"/>
      <c r="AW174" s="317"/>
      <c r="AX174" s="387"/>
      <c r="AY174" s="843"/>
      <c r="AZ174" s="84"/>
      <c r="BA174" s="64"/>
      <c r="BB174" s="64"/>
      <c r="BC174" s="64"/>
      <c r="BD174" s="516"/>
      <c r="BE174" s="455"/>
      <c r="BF174" s="703"/>
      <c r="BG174" s="513"/>
      <c r="BH174" s="93"/>
      <c r="BI174" s="91"/>
      <c r="BJ174" s="93"/>
      <c r="BK174" s="748"/>
      <c r="BL174" s="748"/>
      <c r="BM174" s="748"/>
      <c r="BN174" s="91"/>
      <c r="BO174" s="94"/>
      <c r="BP174" s="94"/>
      <c r="BQ174" s="95"/>
      <c r="BR174" s="130"/>
      <c r="BS174" s="131"/>
      <c r="BT174" s="131"/>
      <c r="BU174" s="1922"/>
      <c r="BV174" s="99"/>
      <c r="BW174" s="385"/>
      <c r="BX174" s="214"/>
      <c r="BY174" s="214"/>
      <c r="BZ174" s="101"/>
      <c r="CA174" s="102"/>
      <c r="CB174" s="103"/>
      <c r="CC174" s="125"/>
      <c r="CD174" s="105"/>
      <c r="CE174" s="718"/>
      <c r="CF174" s="719"/>
      <c r="CG174" s="719"/>
      <c r="CH174" s="720"/>
      <c r="CI174" s="721"/>
      <c r="CJ174" s="715"/>
    </row>
    <row r="175" spans="1:89" ht="30" hidden="1" customHeight="1" outlineLevel="1">
      <c r="A175" s="831"/>
      <c r="B175" s="247"/>
      <c r="C175" s="247"/>
      <c r="D175" s="62"/>
      <c r="E175" s="62"/>
      <c r="F175" s="247"/>
      <c r="G175" s="80"/>
      <c r="H175" s="80"/>
      <c r="I175" s="80"/>
      <c r="J175" s="80"/>
      <c r="K175" s="249"/>
      <c r="L175" s="857"/>
      <c r="M175" s="68"/>
      <c r="N175" s="68"/>
      <c r="O175" s="70"/>
      <c r="P175" s="70"/>
      <c r="Q175" s="70"/>
      <c r="R175" s="70"/>
      <c r="S175" s="249"/>
      <c r="T175" s="250"/>
      <c r="U175" s="70"/>
      <c r="V175" s="70"/>
      <c r="W175" s="70"/>
      <c r="X175" s="70"/>
      <c r="Y175" s="250"/>
      <c r="Z175" s="70"/>
      <c r="AA175" s="70"/>
      <c r="AB175" s="70"/>
      <c r="AC175" s="251"/>
      <c r="AD175" s="274"/>
      <c r="AE175" s="73"/>
      <c r="AF175" s="275"/>
      <c r="AG175" s="275"/>
      <c r="AH175" s="74"/>
      <c r="AI175" s="75"/>
      <c r="AJ175" s="319"/>
      <c r="AK175" s="319"/>
      <c r="AL175" s="319"/>
      <c r="AM175" s="74"/>
      <c r="AN175" s="75"/>
      <c r="AO175" s="78"/>
      <c r="AP175" s="74"/>
      <c r="AQ175" s="256"/>
      <c r="AR175" s="614"/>
      <c r="AS175" s="80"/>
      <c r="AT175" s="247"/>
      <c r="AU175" s="247"/>
      <c r="AV175" s="247"/>
      <c r="AW175" s="317"/>
      <c r="AX175" s="387"/>
      <c r="AY175" s="843"/>
      <c r="AZ175" s="84"/>
      <c r="BA175" s="64"/>
      <c r="BB175" s="64"/>
      <c r="BC175" s="64"/>
      <c r="BD175" s="516"/>
      <c r="BE175" s="455"/>
      <c r="BF175" s="703"/>
      <c r="BG175" s="90"/>
      <c r="BH175" s="93"/>
      <c r="BI175" s="91"/>
      <c r="BJ175" s="93"/>
      <c r="BK175" s="748"/>
      <c r="BL175" s="748"/>
      <c r="BM175" s="748"/>
      <c r="BN175" s="91"/>
      <c r="BO175" s="94"/>
      <c r="BP175" s="94"/>
      <c r="BQ175" s="95"/>
      <c r="BR175" s="130"/>
      <c r="BS175" s="131"/>
      <c r="BT175" s="131"/>
      <c r="BU175" s="1922"/>
      <c r="BV175" s="99"/>
      <c r="BW175" s="385"/>
      <c r="BX175" s="214"/>
      <c r="BY175" s="214"/>
      <c r="BZ175" s="101"/>
      <c r="CA175" s="102"/>
      <c r="CB175" s="103"/>
      <c r="CC175" s="125"/>
      <c r="CD175" s="105"/>
      <c r="CE175" s="718"/>
      <c r="CF175" s="719"/>
      <c r="CG175" s="719"/>
      <c r="CH175" s="720"/>
      <c r="CI175" s="721"/>
      <c r="CJ175" s="715"/>
    </row>
    <row r="176" spans="1:89" ht="30" hidden="1" customHeight="1" outlineLevel="1">
      <c r="A176" s="831"/>
      <c r="B176" s="247"/>
      <c r="C176" s="247"/>
      <c r="D176" s="62"/>
      <c r="E176" s="62"/>
      <c r="F176" s="247"/>
      <c r="G176" s="80"/>
      <c r="H176" s="80"/>
      <c r="I176" s="80"/>
      <c r="J176" s="80"/>
      <c r="K176" s="271"/>
      <c r="L176" s="857"/>
      <c r="M176" s="68"/>
      <c r="N176" s="68"/>
      <c r="O176" s="70"/>
      <c r="P176" s="70"/>
      <c r="Q176" s="70"/>
      <c r="R176" s="70"/>
      <c r="S176" s="249"/>
      <c r="T176" s="250"/>
      <c r="U176" s="70"/>
      <c r="V176" s="70"/>
      <c r="W176" s="70"/>
      <c r="X176" s="70"/>
      <c r="Y176" s="250"/>
      <c r="Z176" s="70"/>
      <c r="AA176" s="70"/>
      <c r="AB176" s="70"/>
      <c r="AC176" s="251"/>
      <c r="AD176" s="274"/>
      <c r="AE176" s="73"/>
      <c r="AF176" s="275"/>
      <c r="AG176" s="135"/>
      <c r="AH176" s="74"/>
      <c r="AI176" s="75"/>
      <c r="AJ176" s="276"/>
      <c r="AK176" s="319"/>
      <c r="AL176" s="319"/>
      <c r="AM176" s="74"/>
      <c r="AN176" s="75"/>
      <c r="AO176" s="78"/>
      <c r="AP176" s="74"/>
      <c r="AQ176" s="256"/>
      <c r="AR176" s="614"/>
      <c r="AS176" s="65"/>
      <c r="AT176" s="247"/>
      <c r="AU176" s="247"/>
      <c r="AV176" s="247"/>
      <c r="AW176" s="317"/>
      <c r="AX176" s="387"/>
      <c r="AY176" s="861"/>
      <c r="AZ176" s="84"/>
      <c r="BA176" s="64"/>
      <c r="BB176" s="63"/>
      <c r="BC176" s="862"/>
      <c r="BD176" s="139"/>
      <c r="BE176" s="455"/>
      <c r="BF176" s="703"/>
      <c r="BG176" s="748"/>
      <c r="BH176" s="93"/>
      <c r="BI176" s="91"/>
      <c r="BJ176" s="93"/>
      <c r="BK176" s="748"/>
      <c r="BL176" s="748"/>
      <c r="BM176" s="748"/>
      <c r="BN176" s="91"/>
      <c r="BO176" s="91"/>
      <c r="BP176" s="94"/>
      <c r="BQ176" s="95"/>
      <c r="BR176" s="130"/>
      <c r="BS176" s="131"/>
      <c r="BT176" s="131"/>
      <c r="BU176" s="1922"/>
      <c r="BV176" s="99"/>
      <c r="BW176" s="385"/>
      <c r="BX176" s="214"/>
      <c r="BY176" s="214"/>
      <c r="BZ176" s="101"/>
      <c r="CA176" s="102"/>
      <c r="CB176" s="103"/>
      <c r="CC176" s="125"/>
      <c r="CD176" s="105"/>
      <c r="CE176" s="627"/>
      <c r="CF176" s="107"/>
      <c r="CG176" s="107"/>
      <c r="CH176" s="726"/>
      <c r="CI176" s="721"/>
      <c r="CJ176" s="715"/>
    </row>
    <row r="177" spans="1:88" ht="30" hidden="1" customHeight="1" outlineLevel="1">
      <c r="A177" s="831"/>
      <c r="B177" s="247"/>
      <c r="C177" s="247"/>
      <c r="D177" s="62"/>
      <c r="E177" s="62"/>
      <c r="F177" s="247"/>
      <c r="G177" s="80"/>
      <c r="H177" s="80"/>
      <c r="I177" s="80"/>
      <c r="J177" s="80"/>
      <c r="K177" s="271"/>
      <c r="L177" s="857"/>
      <c r="M177" s="317"/>
      <c r="N177" s="68"/>
      <c r="O177" s="70"/>
      <c r="P177" s="70"/>
      <c r="Q177" s="70"/>
      <c r="R177" s="70"/>
      <c r="S177" s="249"/>
      <c r="T177" s="250"/>
      <c r="U177" s="70"/>
      <c r="V177" s="70"/>
      <c r="W177" s="70"/>
      <c r="X177" s="70"/>
      <c r="Y177" s="250"/>
      <c r="Z177" s="70"/>
      <c r="AA177" s="70"/>
      <c r="AB177" s="70"/>
      <c r="AC177" s="251"/>
      <c r="AD177" s="274"/>
      <c r="AE177" s="73"/>
      <c r="AF177" s="454"/>
      <c r="AG177" s="454"/>
      <c r="AH177" s="74"/>
      <c r="AI177" s="75"/>
      <c r="AJ177" s="319"/>
      <c r="AK177" s="319"/>
      <c r="AL177" s="319"/>
      <c r="AM177" s="74"/>
      <c r="AN177" s="75"/>
      <c r="AO177" s="78"/>
      <c r="AP177" s="74"/>
      <c r="AQ177" s="256"/>
      <c r="AR177" s="614"/>
      <c r="AS177" s="80"/>
      <c r="AT177" s="247"/>
      <c r="AU177" s="247"/>
      <c r="AV177" s="247"/>
      <c r="AW177" s="317"/>
      <c r="AX177" s="387"/>
      <c r="AY177" s="843"/>
      <c r="AZ177" s="84"/>
      <c r="BA177" s="64"/>
      <c r="BB177" s="64"/>
      <c r="BC177" s="64"/>
      <c r="BD177" s="516"/>
      <c r="BE177" s="511"/>
      <c r="BF177" s="703"/>
      <c r="BG177" s="703"/>
      <c r="BH177" s="93"/>
      <c r="BI177" s="91"/>
      <c r="BJ177" s="93"/>
      <c r="BK177" s="748"/>
      <c r="BL177" s="748"/>
      <c r="BM177" s="748"/>
      <c r="BN177" s="91"/>
      <c r="BO177" s="94"/>
      <c r="BP177" s="94"/>
      <c r="BQ177" s="95"/>
      <c r="BR177" s="130"/>
      <c r="BS177" s="131"/>
      <c r="BT177" s="131"/>
      <c r="BU177" s="1922"/>
      <c r="BV177" s="99"/>
      <c r="BW177" s="284"/>
      <c r="BX177" s="214"/>
      <c r="BY177" s="214"/>
      <c r="BZ177" s="863"/>
      <c r="CA177" s="864"/>
      <c r="CB177" s="211"/>
      <c r="CC177" s="865"/>
      <c r="CD177" s="866"/>
      <c r="CE177" s="718"/>
      <c r="CF177" s="719"/>
      <c r="CG177" s="719"/>
      <c r="CH177" s="720"/>
      <c r="CI177" s="721"/>
      <c r="CJ177" s="715"/>
    </row>
    <row r="178" spans="1:88" ht="30" hidden="1" customHeight="1" outlineLevel="1">
      <c r="A178" s="831"/>
      <c r="B178" s="247"/>
      <c r="C178" s="247"/>
      <c r="D178" s="62"/>
      <c r="E178" s="62"/>
      <c r="F178" s="247"/>
      <c r="G178" s="80"/>
      <c r="H178" s="80"/>
      <c r="I178" s="80"/>
      <c r="J178" s="80"/>
      <c r="K178" s="271"/>
      <c r="L178" s="857"/>
      <c r="M178" s="68"/>
      <c r="N178" s="68"/>
      <c r="O178" s="70"/>
      <c r="P178" s="70"/>
      <c r="Q178" s="70"/>
      <c r="R178" s="70"/>
      <c r="S178" s="249"/>
      <c r="T178" s="64"/>
      <c r="U178" s="70"/>
      <c r="V178" s="70"/>
      <c r="W178" s="70"/>
      <c r="X178" s="70"/>
      <c r="Y178" s="64"/>
      <c r="Z178" s="70"/>
      <c r="AA178" s="70"/>
      <c r="AB178" s="70"/>
      <c r="AC178" s="251"/>
      <c r="AD178" s="274"/>
      <c r="AE178" s="73"/>
      <c r="AF178" s="275"/>
      <c r="AG178" s="454"/>
      <c r="AH178" s="74"/>
      <c r="AI178" s="75"/>
      <c r="AJ178" s="724"/>
      <c r="AK178" s="319"/>
      <c r="AL178" s="319"/>
      <c r="AM178" s="74"/>
      <c r="AN178" s="75"/>
      <c r="AO178" s="78"/>
      <c r="AP178" s="289"/>
      <c r="AQ178" s="256"/>
      <c r="AR178" s="614"/>
      <c r="AS178" s="271"/>
      <c r="AT178" s="247"/>
      <c r="AU178" s="247"/>
      <c r="AV178" s="247"/>
      <c r="AW178" s="317"/>
      <c r="AX178" s="387"/>
      <c r="AY178" s="843"/>
      <c r="AZ178" s="84"/>
      <c r="BA178" s="64"/>
      <c r="BB178" s="64"/>
      <c r="BC178" s="250"/>
      <c r="BD178" s="516"/>
      <c r="BE178" s="511"/>
      <c r="BF178" s="703"/>
      <c r="BG178" s="867"/>
      <c r="BH178" s="91"/>
      <c r="BI178" s="91"/>
      <c r="BJ178" s="91"/>
      <c r="BK178" s="91"/>
      <c r="BL178" s="91"/>
      <c r="BM178" s="91"/>
      <c r="BN178" s="91"/>
      <c r="BO178" s="94"/>
      <c r="BP178" s="94"/>
      <c r="BQ178" s="95"/>
      <c r="BR178" s="130"/>
      <c r="BS178" s="131"/>
      <c r="BT178" s="131"/>
      <c r="BU178" s="1922"/>
      <c r="BV178" s="99"/>
      <c r="BW178" s="284"/>
      <c r="BX178" s="214"/>
      <c r="BY178" s="214"/>
      <c r="BZ178" s="101"/>
      <c r="CA178" s="102"/>
      <c r="CB178" s="103"/>
      <c r="CC178" s="104"/>
      <c r="CD178" s="105"/>
      <c r="CE178" s="718"/>
      <c r="CF178" s="719"/>
      <c r="CG178" s="859"/>
      <c r="CH178" s="720"/>
      <c r="CI178" s="860"/>
      <c r="CJ178" s="715"/>
    </row>
    <row r="179" spans="1:88" ht="30" hidden="1" customHeight="1" outlineLevel="1">
      <c r="A179" s="831"/>
      <c r="B179" s="247"/>
      <c r="C179" s="247"/>
      <c r="D179" s="62"/>
      <c r="E179" s="62"/>
      <c r="F179" s="247"/>
      <c r="G179" s="80"/>
      <c r="H179" s="322"/>
      <c r="I179" s="80"/>
      <c r="J179" s="80"/>
      <c r="K179" s="271"/>
      <c r="L179" s="857"/>
      <c r="M179" s="68"/>
      <c r="N179" s="68"/>
      <c r="O179" s="272"/>
      <c r="P179" s="70"/>
      <c r="Q179" s="70"/>
      <c r="R179" s="70"/>
      <c r="S179" s="249"/>
      <c r="T179" s="64"/>
      <c r="U179" s="70"/>
      <c r="V179" s="70"/>
      <c r="W179" s="70"/>
      <c r="X179" s="70"/>
      <c r="Y179" s="64"/>
      <c r="Z179" s="70"/>
      <c r="AA179" s="70"/>
      <c r="AB179" s="70"/>
      <c r="AC179" s="251"/>
      <c r="AD179" s="274"/>
      <c r="AE179" s="73"/>
      <c r="AF179" s="454"/>
      <c r="AG179" s="454"/>
      <c r="AH179" s="74"/>
      <c r="AI179" s="75"/>
      <c r="AJ179" s="319"/>
      <c r="AK179" s="319"/>
      <c r="AL179" s="319"/>
      <c r="AM179" s="74"/>
      <c r="AN179" s="75"/>
      <c r="AO179" s="78"/>
      <c r="AP179" s="74"/>
      <c r="AQ179" s="256"/>
      <c r="AR179" s="614"/>
      <c r="AS179" s="80"/>
      <c r="AT179" s="247"/>
      <c r="AU179" s="247"/>
      <c r="AV179" s="247"/>
      <c r="AW179" s="317"/>
      <c r="AX179" s="387"/>
      <c r="AY179" s="843"/>
      <c r="AZ179" s="84"/>
      <c r="BA179" s="64"/>
      <c r="BB179" s="64"/>
      <c r="BC179" s="64"/>
      <c r="BD179" s="516"/>
      <c r="BE179" s="511"/>
      <c r="BF179" s="703"/>
      <c r="BG179" s="513"/>
      <c r="BH179" s="93"/>
      <c r="BI179" s="91"/>
      <c r="BJ179" s="93"/>
      <c r="BK179" s="748"/>
      <c r="BL179" s="748"/>
      <c r="BM179" s="748"/>
      <c r="BN179" s="91"/>
      <c r="BO179" s="94"/>
      <c r="BP179" s="94"/>
      <c r="BQ179" s="95"/>
      <c r="BR179" s="130"/>
      <c r="BS179" s="131"/>
      <c r="BT179" s="131"/>
      <c r="BU179" s="1922"/>
      <c r="BV179" s="99"/>
      <c r="BW179" s="130"/>
      <c r="BX179" s="131"/>
      <c r="BY179" s="131"/>
      <c r="BZ179" s="101"/>
      <c r="CA179" s="102"/>
      <c r="CB179" s="103"/>
      <c r="CC179" s="104"/>
      <c r="CD179" s="105"/>
      <c r="CE179" s="718"/>
      <c r="CF179" s="719"/>
      <c r="CG179" s="719"/>
      <c r="CH179" s="720"/>
      <c r="CI179" s="721"/>
      <c r="CJ179" s="715"/>
    </row>
    <row r="180" spans="1:88" ht="30" hidden="1" customHeight="1">
      <c r="A180" s="148" t="s">
        <v>86</v>
      </c>
      <c r="B180" s="149">
        <f>COUNTIF(A166:A179,$B$1)</f>
        <v>0</v>
      </c>
      <c r="C180" s="150"/>
      <c r="D180" s="151"/>
      <c r="E180" s="151"/>
      <c r="F180" s="151"/>
      <c r="G180" s="152">
        <f>SUMIF(A166:A179,$B$1,G166:G179)</f>
        <v>0</v>
      </c>
      <c r="H180" s="152">
        <f>SUMIF(A166:A179,$B$1,H166:H179)</f>
        <v>0</v>
      </c>
      <c r="I180" s="152">
        <f>SUM(I166:I179)</f>
        <v>0</v>
      </c>
      <c r="J180" s="152"/>
      <c r="K180" s="152"/>
      <c r="L180" s="153">
        <f ca="1">SUMIF(A157:A179,$B$1,L157:L179)</f>
        <v>9.1999999999999993</v>
      </c>
      <c r="M180" s="152"/>
      <c r="N180" s="152"/>
      <c r="O180" s="152"/>
      <c r="P180" s="152"/>
      <c r="Q180" s="152"/>
      <c r="R180" s="152"/>
      <c r="S180" s="152"/>
      <c r="T180" s="152"/>
      <c r="U180" s="152"/>
      <c r="V180" s="151"/>
      <c r="W180" s="151"/>
      <c r="X180" s="151"/>
      <c r="Y180" s="152"/>
      <c r="Z180" s="152"/>
      <c r="AA180" s="151"/>
      <c r="AB180" s="151"/>
      <c r="AC180" s="151"/>
      <c r="AD180" s="151"/>
      <c r="AE180" s="154"/>
      <c r="AF180" s="155"/>
      <c r="AG180" s="156"/>
      <c r="AH180" s="152"/>
      <c r="AI180" s="157"/>
      <c r="AJ180" s="730"/>
      <c r="AK180" s="156"/>
      <c r="AL180" s="156"/>
      <c r="AM180" s="152"/>
      <c r="AN180" s="157"/>
      <c r="AO180" s="297">
        <f>COUNTA(AO166:AO179)</f>
        <v>0</v>
      </c>
      <c r="AP180" s="152"/>
      <c r="AQ180" s="152"/>
      <c r="AR180" s="161"/>
      <c r="AS180" s="151"/>
      <c r="AT180" s="151"/>
      <c r="AU180" s="151"/>
      <c r="AV180" s="151"/>
      <c r="AW180" s="151"/>
      <c r="AX180" s="151"/>
      <c r="AY180" s="151"/>
      <c r="AZ180" s="163">
        <f>SUM(AZ166:AZ179)</f>
        <v>0</v>
      </c>
      <c r="BA180" s="163">
        <f>SUM(BA166:BA179)</f>
        <v>0</v>
      </c>
      <c r="BB180" s="163">
        <f>SUM(BB166:BB179)</f>
        <v>0</v>
      </c>
      <c r="BC180" s="221"/>
      <c r="BD180" s="165"/>
      <c r="BE180" s="340"/>
      <c r="BF180" s="340"/>
      <c r="BG180" s="341"/>
      <c r="BH180" s="341"/>
      <c r="BI180" s="341"/>
      <c r="BJ180" s="341"/>
      <c r="BK180" s="341"/>
      <c r="BL180" s="341"/>
      <c r="BM180" s="341"/>
      <c r="BN180" s="341"/>
      <c r="BO180" s="341"/>
      <c r="BP180" s="163">
        <f>SUM(BP161:BP179)</f>
        <v>0</v>
      </c>
      <c r="BQ180" s="163">
        <f>SUM(BQ161:BQ179)</f>
        <v>0</v>
      </c>
      <c r="BR180" s="868">
        <f>COUNTA(BR157:BR161)</f>
        <v>1</v>
      </c>
      <c r="BS180" s="869">
        <f>SUM(BS157:BS161,BS166:BS178)</f>
        <v>310</v>
      </c>
      <c r="BT180" s="870"/>
      <c r="BU180" s="1941">
        <f>SUM(BU157:BU161,BU166:BU178)</f>
        <v>170</v>
      </c>
      <c r="BV180" s="1902"/>
      <c r="BW180" s="571">
        <f>COUNTA(BW157:BW179)</f>
        <v>1</v>
      </c>
      <c r="BX180" s="574">
        <f>SUM(BX157:BX179)</f>
        <v>0</v>
      </c>
      <c r="BY180" s="872">
        <f>SUM(BY157:BY179)</f>
        <v>0</v>
      </c>
      <c r="BZ180" s="171"/>
      <c r="CA180" s="548"/>
      <c r="CB180" s="173">
        <f>AO180</f>
        <v>0</v>
      </c>
      <c r="CC180" s="173">
        <f>COUNTIF(CC166:CC179,"=0")</f>
        <v>0</v>
      </c>
      <c r="CD180" s="174">
        <f>SUM(COUNTIF(CC166:CC179,"&lt;0"),COUNTIF(CC166:CC179,"&gt;0"))</f>
        <v>0</v>
      </c>
      <c r="CE180" s="225">
        <f>COUNTIF(CE161:CE161,"1")</f>
        <v>0</v>
      </c>
      <c r="CF180" s="226">
        <f>SUM(CF161:CF161)</f>
        <v>0</v>
      </c>
      <c r="CG180" s="227">
        <f>COUNTIF(CG161:CG165,"1")</f>
        <v>0</v>
      </c>
      <c r="CH180" s="228">
        <f>SUM(CH161:CH165)</f>
        <v>0</v>
      </c>
      <c r="CI180" s="731"/>
      <c r="CJ180" s="715"/>
    </row>
    <row r="181" spans="1:88" ht="30" hidden="1" customHeight="1">
      <c r="A181" s="179" t="s">
        <v>87</v>
      </c>
      <c r="B181" s="348">
        <f>COUNT(A166:A179)</f>
        <v>0</v>
      </c>
      <c r="C181" s="181"/>
      <c r="D181" s="182"/>
      <c r="E181" s="182"/>
      <c r="F181" s="182"/>
      <c r="G181" s="184">
        <f>SUM(G163,G180)</f>
        <v>9.1999999999999993</v>
      </c>
      <c r="H181" s="184">
        <f>SUM(H163,H180)</f>
        <v>9.1999999999999993</v>
      </c>
      <c r="I181" s="184"/>
      <c r="J181" s="184">
        <f>SUM(J163,J180)</f>
        <v>184</v>
      </c>
      <c r="K181" s="184"/>
      <c r="L181" s="184"/>
      <c r="M181" s="184"/>
      <c r="N181" s="184"/>
      <c r="O181" s="184"/>
      <c r="P181" s="184"/>
      <c r="Q181" s="184"/>
      <c r="R181" s="184"/>
      <c r="S181" s="185"/>
      <c r="T181" s="185">
        <f>SUMIF(AG166:AG179,"перех.",T166:T179)</f>
        <v>0</v>
      </c>
      <c r="U181" s="185"/>
      <c r="V181" s="182"/>
      <c r="W181" s="182"/>
      <c r="X181" s="182"/>
      <c r="Y181" s="185">
        <f>SUMIF(AM166:AM179,"перех.",Y166:Y179)</f>
        <v>0</v>
      </c>
      <c r="Z181" s="185"/>
      <c r="AA181" s="182"/>
      <c r="AB181" s="182"/>
      <c r="AC181" s="182"/>
      <c r="AD181" s="182"/>
      <c r="AE181" s="186"/>
      <c r="AF181" s="186"/>
      <c r="AG181" s="186"/>
      <c r="AH181" s="184"/>
      <c r="AI181" s="184"/>
      <c r="AJ181" s="186"/>
      <c r="AK181" s="186"/>
      <c r="AL181" s="186"/>
      <c r="AM181" s="184"/>
      <c r="AN181" s="184"/>
      <c r="AO181" s="182"/>
      <c r="AP181" s="184"/>
      <c r="AQ181" s="182"/>
      <c r="AR181" s="187"/>
      <c r="AS181" s="182"/>
      <c r="AT181" s="182"/>
      <c r="AU181" s="182"/>
      <c r="AV181" s="182"/>
      <c r="AW181" s="182"/>
      <c r="AX181" s="182"/>
      <c r="AY181" s="182"/>
      <c r="AZ181" s="184">
        <f>SUM(AZ180,AZ162)</f>
        <v>20</v>
      </c>
      <c r="BA181" s="184">
        <f>SUM(BA180,BA162)</f>
        <v>340</v>
      </c>
      <c r="BB181" s="184">
        <f>SUM(BB180,BB162)</f>
        <v>10.8</v>
      </c>
      <c r="BC181" s="229"/>
      <c r="BD181" s="188"/>
      <c r="BE181" s="535"/>
      <c r="BF181" s="535"/>
      <c r="BG181" s="476"/>
      <c r="BH181" s="476"/>
      <c r="BI181" s="476"/>
      <c r="BJ181" s="476"/>
      <c r="BK181" s="476"/>
      <c r="BL181" s="476"/>
      <c r="BM181" s="476"/>
      <c r="BN181" s="476"/>
      <c r="BO181" s="476"/>
      <c r="BP181" s="190"/>
      <c r="BQ181" s="190"/>
      <c r="BR181" s="873"/>
      <c r="BS181" s="874">
        <f>BS180</f>
        <v>310</v>
      </c>
      <c r="BT181" s="875"/>
      <c r="BU181" s="1942">
        <f>BU180</f>
        <v>170</v>
      </c>
      <c r="BV181" s="1914">
        <f>SUMIF(BV157:BV179,"",BU157:BU179)</f>
        <v>340</v>
      </c>
      <c r="BW181" s="876"/>
      <c r="BX181" s="877"/>
      <c r="BY181" s="877"/>
      <c r="BZ181" s="360"/>
      <c r="CA181" s="230"/>
      <c r="CB181" s="197">
        <f>SUM(CB166:CB179)</f>
        <v>0</v>
      </c>
      <c r="CC181" s="197">
        <f>SUMIF(CC166:CC179,"=0",CD166:CD179)</f>
        <v>0</v>
      </c>
      <c r="CD181" s="198">
        <f>SUMIF(CC166:CC179,"&lt;&gt;0",CD166:CD179)</f>
        <v>0</v>
      </c>
      <c r="CE181" s="197"/>
      <c r="CF181" s="197"/>
      <c r="CG181" s="197"/>
      <c r="CH181" s="197"/>
      <c r="CI181" s="744"/>
      <c r="CJ181" s="715"/>
    </row>
    <row r="182" spans="1:88" ht="33" customHeight="1">
      <c r="A182" s="2144" t="s">
        <v>290</v>
      </c>
      <c r="B182" s="2149"/>
      <c r="C182" s="2149"/>
      <c r="D182" s="2149"/>
      <c r="E182" s="2149"/>
      <c r="F182" s="2149"/>
      <c r="G182" s="2149"/>
      <c r="H182" s="2149"/>
      <c r="I182" s="2149"/>
      <c r="J182" s="2149"/>
      <c r="K182" s="2149"/>
      <c r="L182" s="2149"/>
      <c r="M182" s="2149"/>
      <c r="N182" s="2149"/>
      <c r="O182" s="2149"/>
      <c r="P182" s="2149"/>
      <c r="Q182" s="2149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  <c r="AD182" s="43"/>
      <c r="AE182" s="43"/>
      <c r="AF182" s="44"/>
      <c r="AG182" s="44"/>
      <c r="AH182" s="44"/>
      <c r="AI182" s="44"/>
      <c r="AJ182" s="44"/>
      <c r="AK182" s="44"/>
      <c r="AL182" s="44"/>
      <c r="AM182" s="44"/>
      <c r="AN182" s="44"/>
      <c r="AO182" s="44"/>
      <c r="AP182" s="362"/>
      <c r="AQ182" s="44"/>
      <c r="AR182" s="44"/>
      <c r="AS182" s="44"/>
      <c r="AT182" s="44"/>
      <c r="AU182" s="44"/>
      <c r="AV182" s="44"/>
      <c r="AW182" s="44"/>
      <c r="AX182" s="44"/>
      <c r="AY182" s="44"/>
      <c r="AZ182" s="44"/>
      <c r="BA182" s="44"/>
      <c r="BB182" s="44"/>
      <c r="BC182" s="44"/>
      <c r="BD182" s="45"/>
      <c r="BE182" s="45"/>
      <c r="BF182" s="46"/>
      <c r="BG182" s="46"/>
      <c r="BH182" s="46"/>
      <c r="BI182" s="46"/>
      <c r="BJ182" s="46"/>
      <c r="BK182" s="46"/>
      <c r="BL182" s="46"/>
      <c r="BM182" s="46"/>
      <c r="BN182" s="46"/>
      <c r="BO182" s="46"/>
      <c r="BP182" s="46"/>
      <c r="BQ182" s="495"/>
      <c r="BR182" s="366"/>
      <c r="BS182" s="367"/>
      <c r="BT182" s="367"/>
      <c r="BU182" s="1895"/>
      <c r="BV182" s="608"/>
      <c r="BW182" s="610"/>
      <c r="BX182" s="610"/>
      <c r="BY182" s="610"/>
      <c r="BZ182" s="369"/>
      <c r="CA182" s="365"/>
      <c r="CB182" s="365"/>
      <c r="CC182" s="365"/>
      <c r="CD182" s="244"/>
      <c r="CE182" s="365"/>
      <c r="CF182" s="365"/>
      <c r="CG182" s="365"/>
      <c r="CH182" s="365"/>
      <c r="CI182" s="369"/>
      <c r="CJ182" s="715"/>
    </row>
    <row r="183" spans="1:88" ht="45.75" customHeight="1">
      <c r="A183" s="59">
        <f>DAY(AG183)</f>
        <v>23</v>
      </c>
      <c r="B183" s="247">
        <v>400</v>
      </c>
      <c r="C183" s="247">
        <v>4</v>
      </c>
      <c r="D183" s="248" t="s">
        <v>304</v>
      </c>
      <c r="E183" s="248" t="s">
        <v>306</v>
      </c>
      <c r="F183" s="247"/>
      <c r="G183" s="80">
        <f>M183-T183</f>
        <v>20</v>
      </c>
      <c r="H183" s="80">
        <f>M183-T183</f>
        <v>20</v>
      </c>
      <c r="I183" s="80">
        <f>IF($B$2&gt;=A183,($B$2-A183+1)*G183,"-")</f>
        <v>180</v>
      </c>
      <c r="J183" s="80">
        <f>($A$2-A183+1)*G183</f>
        <v>180</v>
      </c>
      <c r="K183" s="271" t="s">
        <v>265</v>
      </c>
      <c r="L183" s="80">
        <f ca="1">IF((AE183)&lt;$L$2-DAY($L$2)+1,H183,H183+T183)</f>
        <v>20</v>
      </c>
      <c r="M183" s="68">
        <v>49</v>
      </c>
      <c r="N183" s="68">
        <v>97</v>
      </c>
      <c r="O183" s="70">
        <v>41.7</v>
      </c>
      <c r="P183" s="70">
        <v>2050</v>
      </c>
      <c r="Q183" s="70">
        <v>2181</v>
      </c>
      <c r="R183" s="70"/>
      <c r="S183" s="249" t="s">
        <v>265</v>
      </c>
      <c r="T183" s="64">
        <v>29</v>
      </c>
      <c r="U183" s="70">
        <v>74</v>
      </c>
      <c r="V183" s="64">
        <v>54.8</v>
      </c>
      <c r="W183" s="70">
        <v>2064</v>
      </c>
      <c r="X183" s="70">
        <v>2181</v>
      </c>
      <c r="Y183" s="64">
        <v>26</v>
      </c>
      <c r="Z183" s="70">
        <v>65</v>
      </c>
      <c r="AA183" s="250">
        <v>55.1</v>
      </c>
      <c r="AB183" s="70">
        <v>2068</v>
      </c>
      <c r="AC183" s="251"/>
      <c r="AD183" s="274" t="s">
        <v>267</v>
      </c>
      <c r="AE183" s="73">
        <v>42012</v>
      </c>
      <c r="AF183" s="275">
        <v>42027</v>
      </c>
      <c r="AG183" s="381">
        <f>AF183</f>
        <v>42027</v>
      </c>
      <c r="AH183" s="74">
        <f>IF(AE183="переход","",AF183-AE183)</f>
        <v>15</v>
      </c>
      <c r="AI183" s="75">
        <f>IF(T183="","",AH183*T183)</f>
        <v>435</v>
      </c>
      <c r="AJ183" s="73">
        <v>42009</v>
      </c>
      <c r="AK183" s="77">
        <v>42022</v>
      </c>
      <c r="AL183" s="276">
        <f>AK183+5</f>
        <v>42027</v>
      </c>
      <c r="AM183" s="78">
        <f>IF(AJ183="переход","",AL183-AJ183)</f>
        <v>18</v>
      </c>
      <c r="AN183" s="75">
        <f>IF(Y183="","",AM183*Y183)</f>
        <v>468</v>
      </c>
      <c r="AO183" s="78">
        <f>DAY(AL183)</f>
        <v>23</v>
      </c>
      <c r="AP183" s="74">
        <v>49</v>
      </c>
      <c r="AQ183" s="63">
        <v>126</v>
      </c>
      <c r="AR183" s="614">
        <v>55</v>
      </c>
      <c r="AS183" s="66">
        <v>2184</v>
      </c>
      <c r="AT183" s="68">
        <v>1950</v>
      </c>
      <c r="AU183" s="68">
        <v>10</v>
      </c>
      <c r="AV183" s="68">
        <v>10</v>
      </c>
      <c r="AW183" s="68">
        <v>21.3</v>
      </c>
      <c r="AX183" s="258">
        <v>50</v>
      </c>
      <c r="AY183" s="83" t="s">
        <v>84</v>
      </c>
      <c r="AZ183" s="311">
        <f>IF(AP183&lt;1,"-",AP183-Y183)</f>
        <v>23</v>
      </c>
      <c r="BA183" s="64">
        <f>IF(AZ183="-","-",($B$2-AO183+1)*AZ183)</f>
        <v>207</v>
      </c>
      <c r="BB183" s="63">
        <f>IF(AZ183="-","-",AZ183-H183)</f>
        <v>3</v>
      </c>
      <c r="BC183" s="86">
        <f>IF(AZ183="-","-",AZ183/H183)</f>
        <v>1.1499999999999999</v>
      </c>
      <c r="BD183" s="139">
        <f>IF(AP183&lt;1,IF($B$2&gt;=A183,($A$2-A183+1)*-1*H183,"-"),AZ183*($A$2-AO183+1)-H183*($A$2-A183+1))</f>
        <v>27</v>
      </c>
      <c r="BE183" s="455"/>
      <c r="BF183" s="703"/>
      <c r="BG183" s="878"/>
      <c r="BH183" s="91"/>
      <c r="BI183" s="91"/>
      <c r="BJ183" s="91"/>
      <c r="BK183" s="91"/>
      <c r="BL183" s="91"/>
      <c r="BM183" s="91"/>
      <c r="BN183" s="91"/>
      <c r="BO183" s="91"/>
      <c r="BP183" s="94"/>
      <c r="BQ183" s="95"/>
      <c r="BR183" s="1852">
        <f>IF(AE183&lt;=$D$1,T183,0)</f>
        <v>0</v>
      </c>
      <c r="BS183" s="1853">
        <f>BR183*($A$2-A183+1)</f>
        <v>0</v>
      </c>
      <c r="BT183" s="1854">
        <f>IF(AJ183&lt;=$D$1,Y183,0)</f>
        <v>0</v>
      </c>
      <c r="BU183" s="1934">
        <f>BT183*($A$2-AO183+1)</f>
        <v>0</v>
      </c>
      <c r="BV183" s="1916"/>
      <c r="BW183" s="215">
        <f>IF(AG183="переход",T183,0)</f>
        <v>0</v>
      </c>
      <c r="BX183" s="214">
        <f>AI183</f>
        <v>435</v>
      </c>
      <c r="BY183" s="621"/>
      <c r="BZ183" s="101" t="e">
        <f>NA()</f>
        <v>#N/A</v>
      </c>
      <c r="CA183" s="102" t="e">
        <f>NA()</f>
        <v>#N/A</v>
      </c>
      <c r="CB183" s="103">
        <f>($D$1-AL183)*AZ183</f>
        <v>-506</v>
      </c>
      <c r="CC183" s="104" t="str">
        <f>IF(AO183&gt;0,"-",(AG183-CA183))</f>
        <v>-</v>
      </c>
      <c r="CD183" s="105" t="str">
        <f>IF(AO183&gt;0,"-",(($D$1-CA183)*H183))</f>
        <v>-</v>
      </c>
      <c r="CE183" s="879"/>
      <c r="CF183" s="880"/>
      <c r="CG183" s="881"/>
      <c r="CH183" s="882"/>
      <c r="CI183" s="860"/>
      <c r="CJ183" s="715"/>
    </row>
    <row r="184" spans="1:88" ht="33" hidden="1" customHeight="1" outlineLevel="1">
      <c r="A184" s="484"/>
      <c r="B184" s="247"/>
      <c r="C184" s="247"/>
      <c r="D184" s="248"/>
      <c r="E184" s="248"/>
      <c r="F184" s="247"/>
      <c r="G184" s="80"/>
      <c r="H184" s="80"/>
      <c r="I184" s="80"/>
      <c r="J184" s="80"/>
      <c r="K184" s="271"/>
      <c r="L184" s="883"/>
      <c r="M184" s="68"/>
      <c r="N184" s="68"/>
      <c r="O184" s="70"/>
      <c r="P184" s="70"/>
      <c r="Q184" s="70"/>
      <c r="R184" s="70"/>
      <c r="S184" s="249"/>
      <c r="T184" s="250"/>
      <c r="U184" s="70"/>
      <c r="V184" s="70"/>
      <c r="W184" s="70"/>
      <c r="X184" s="70"/>
      <c r="Y184" s="250"/>
      <c r="Z184" s="70"/>
      <c r="AA184" s="70"/>
      <c r="AB184" s="70"/>
      <c r="AC184" s="251"/>
      <c r="AD184" s="274"/>
      <c r="AE184" s="73"/>
      <c r="AF184" s="275"/>
      <c r="AG184" s="381"/>
      <c r="AH184" s="74"/>
      <c r="AI184" s="75"/>
      <c r="AJ184" s="276"/>
      <c r="AK184" s="77"/>
      <c r="AL184" s="276"/>
      <c r="AM184" s="74"/>
      <c r="AN184" s="75"/>
      <c r="AO184" s="78"/>
      <c r="AP184" s="289"/>
      <c r="AQ184" s="256"/>
      <c r="AR184" s="74"/>
      <c r="AS184" s="66"/>
      <c r="AT184" s="247"/>
      <c r="AU184" s="247"/>
      <c r="AV184" s="247"/>
      <c r="AW184" s="317"/>
      <c r="AX184" s="387"/>
      <c r="AY184" s="544"/>
      <c r="AZ184" s="84"/>
      <c r="BA184" s="64"/>
      <c r="BB184" s="63"/>
      <c r="BC184" s="884"/>
      <c r="BD184" s="139"/>
      <c r="BE184" s="455"/>
      <c r="BF184" s="703"/>
      <c r="BG184" s="878"/>
      <c r="BH184" s="91"/>
      <c r="BI184" s="91"/>
      <c r="BJ184" s="91"/>
      <c r="BK184" s="91"/>
      <c r="BL184" s="91"/>
      <c r="BM184" s="91"/>
      <c r="BN184" s="91"/>
      <c r="BO184" s="91"/>
      <c r="BP184" s="94"/>
      <c r="BQ184" s="95"/>
      <c r="BR184" s="1864"/>
      <c r="BS184" s="1858"/>
      <c r="BT184" s="1858"/>
      <c r="BU184" s="1859"/>
      <c r="BV184" s="1917"/>
      <c r="BW184" s="385"/>
      <c r="BX184" s="214"/>
      <c r="BY184" s="214"/>
      <c r="BZ184" s="885"/>
      <c r="CA184" s="886"/>
      <c r="CB184" s="644"/>
      <c r="CC184" s="531"/>
      <c r="CD184" s="887"/>
      <c r="CE184" s="879"/>
      <c r="CF184" s="880"/>
      <c r="CG184" s="881"/>
      <c r="CH184" s="882"/>
      <c r="CI184" s="888"/>
      <c r="CJ184" s="715"/>
    </row>
    <row r="185" spans="1:88" ht="33" hidden="1" customHeight="1" outlineLevel="1">
      <c r="A185" s="484"/>
      <c r="B185" s="247"/>
      <c r="C185" s="247"/>
      <c r="D185" s="248"/>
      <c r="E185" s="248"/>
      <c r="F185" s="247"/>
      <c r="G185" s="80"/>
      <c r="H185" s="80"/>
      <c r="I185" s="80"/>
      <c r="J185" s="80"/>
      <c r="K185" s="271"/>
      <c r="L185" s="889"/>
      <c r="M185" s="68"/>
      <c r="N185" s="68"/>
      <c r="O185" s="70"/>
      <c r="P185" s="70"/>
      <c r="Q185" s="70"/>
      <c r="R185" s="70"/>
      <c r="S185" s="249"/>
      <c r="T185" s="250"/>
      <c r="U185" s="70"/>
      <c r="V185" s="70"/>
      <c r="W185" s="70"/>
      <c r="X185" s="70"/>
      <c r="Y185" s="250"/>
      <c r="Z185" s="70"/>
      <c r="AA185" s="70"/>
      <c r="AB185" s="70"/>
      <c r="AC185" s="251"/>
      <c r="AD185" s="890"/>
      <c r="AE185" s="135"/>
      <c r="AF185" s="275"/>
      <c r="AG185" s="275"/>
      <c r="AH185" s="74"/>
      <c r="AI185" s="75"/>
      <c r="AJ185" s="276"/>
      <c r="AK185" s="254"/>
      <c r="AL185" s="255"/>
      <c r="AM185" s="74"/>
      <c r="AN185" s="75"/>
      <c r="AO185" s="78"/>
      <c r="AP185" s="74"/>
      <c r="AQ185" s="256"/>
      <c r="AR185" s="74"/>
      <c r="AS185" s="112"/>
      <c r="AT185" s="271"/>
      <c r="AU185" s="247"/>
      <c r="AV185" s="247"/>
      <c r="AW185" s="317"/>
      <c r="AX185" s="258"/>
      <c r="AY185" s="514"/>
      <c r="AZ185" s="84"/>
      <c r="BA185" s="64"/>
      <c r="BB185" s="63"/>
      <c r="BC185" s="312"/>
      <c r="BD185" s="139"/>
      <c r="BE185" s="374"/>
      <c r="BF185" s="703"/>
      <c r="BG185" s="891"/>
      <c r="BH185" s="91"/>
      <c r="BI185" s="91"/>
      <c r="BJ185" s="91"/>
      <c r="BK185" s="91"/>
      <c r="BL185" s="91"/>
      <c r="BM185" s="91"/>
      <c r="BN185" s="91"/>
      <c r="BO185" s="91"/>
      <c r="BP185" s="94"/>
      <c r="BQ185" s="95"/>
      <c r="BR185" s="1856"/>
      <c r="BS185" s="1858"/>
      <c r="BT185" s="1858"/>
      <c r="BU185" s="1943"/>
      <c r="BV185" s="1917"/>
      <c r="BW185" s="385"/>
      <c r="BX185" s="214"/>
      <c r="BY185" s="214"/>
      <c r="BZ185" s="885"/>
      <c r="CA185" s="886"/>
      <c r="CB185" s="644"/>
      <c r="CC185" s="531"/>
      <c r="CD185" s="887"/>
      <c r="CE185" s="879"/>
      <c r="CF185" s="880"/>
      <c r="CG185" s="881"/>
      <c r="CH185" s="882"/>
      <c r="CI185" s="888"/>
      <c r="CJ185" s="715"/>
    </row>
    <row r="186" spans="1:88" ht="33" hidden="1" customHeight="1" outlineLevel="1">
      <c r="A186" s="59"/>
      <c r="B186" s="892"/>
      <c r="C186" s="247"/>
      <c r="D186" s="248"/>
      <c r="E186" s="248"/>
      <c r="F186" s="247"/>
      <c r="G186" s="80"/>
      <c r="H186" s="80"/>
      <c r="I186" s="80"/>
      <c r="J186" s="80"/>
      <c r="K186" s="271"/>
      <c r="L186" s="322"/>
      <c r="M186" s="68"/>
      <c r="N186" s="68"/>
      <c r="O186" s="70"/>
      <c r="P186" s="70"/>
      <c r="Q186" s="70"/>
      <c r="R186" s="70"/>
      <c r="S186" s="249"/>
      <c r="T186" s="250"/>
      <c r="U186" s="70"/>
      <c r="V186" s="70"/>
      <c r="W186" s="70"/>
      <c r="X186" s="70"/>
      <c r="Y186" s="250"/>
      <c r="Z186" s="70"/>
      <c r="AA186" s="70"/>
      <c r="AB186" s="70"/>
      <c r="AC186" s="251"/>
      <c r="AD186" s="274"/>
      <c r="AE186" s="276"/>
      <c r="AF186" s="254"/>
      <c r="AG186" s="454"/>
      <c r="AH186" s="74"/>
      <c r="AI186" s="75"/>
      <c r="AJ186" s="276"/>
      <c r="AK186" s="254"/>
      <c r="AL186" s="255"/>
      <c r="AM186" s="74"/>
      <c r="AN186" s="75"/>
      <c r="AO186" s="78"/>
      <c r="AP186" s="74"/>
      <c r="AQ186" s="256"/>
      <c r="AR186" s="74"/>
      <c r="AS186" s="112"/>
      <c r="AT186" s="247"/>
      <c r="AU186" s="247"/>
      <c r="AV186" s="247"/>
      <c r="AW186" s="68"/>
      <c r="AX186" s="258"/>
      <c r="AY186" s="514"/>
      <c r="AZ186" s="84"/>
      <c r="BA186" s="64"/>
      <c r="BB186" s="63"/>
      <c r="BC186" s="312"/>
      <c r="BD186" s="139"/>
      <c r="BE186" s="374"/>
      <c r="BF186" s="375"/>
      <c r="BG186" s="893"/>
      <c r="BH186" s="91"/>
      <c r="BI186" s="91"/>
      <c r="BJ186" s="91"/>
      <c r="BK186" s="91"/>
      <c r="BL186" s="91"/>
      <c r="BM186" s="91"/>
      <c r="BN186" s="91"/>
      <c r="BO186" s="91"/>
      <c r="BP186" s="94"/>
      <c r="BQ186" s="95"/>
      <c r="BR186" s="1856"/>
      <c r="BS186" s="1858"/>
      <c r="BT186" s="1858"/>
      <c r="BU186" s="1943"/>
      <c r="BV186" s="1917"/>
      <c r="BW186" s="284"/>
      <c r="BX186" s="214"/>
      <c r="BY186" s="214"/>
      <c r="BZ186" s="885"/>
      <c r="CA186" s="886"/>
      <c r="CB186" s="644"/>
      <c r="CC186" s="530"/>
      <c r="CD186" s="887"/>
      <c r="CE186" s="879"/>
      <c r="CF186" s="880"/>
      <c r="CG186" s="881"/>
      <c r="CH186" s="882"/>
      <c r="CI186" s="888"/>
      <c r="CJ186" s="715"/>
    </row>
    <row r="187" spans="1:88" ht="41.25" customHeight="1" outlineLevel="1">
      <c r="A187" s="59"/>
      <c r="B187" s="247"/>
      <c r="C187" s="247"/>
      <c r="D187" s="248"/>
      <c r="E187" s="248"/>
      <c r="F187" s="247"/>
      <c r="G187" s="80"/>
      <c r="H187" s="80"/>
      <c r="I187" s="80"/>
      <c r="J187" s="80"/>
      <c r="K187" s="271"/>
      <c r="L187" s="67"/>
      <c r="M187" s="68"/>
      <c r="N187" s="68"/>
      <c r="O187" s="70"/>
      <c r="P187" s="70"/>
      <c r="Q187" s="70"/>
      <c r="R187" s="70"/>
      <c r="S187" s="249"/>
      <c r="T187" s="250"/>
      <c r="U187" s="70"/>
      <c r="V187" s="70"/>
      <c r="W187" s="70"/>
      <c r="X187" s="70"/>
      <c r="Y187" s="250"/>
      <c r="Z187" s="70"/>
      <c r="AA187" s="70"/>
      <c r="AB187" s="70"/>
      <c r="AC187" s="251"/>
      <c r="AD187" s="274"/>
      <c r="AE187" s="73"/>
      <c r="AF187" s="454"/>
      <c r="AG187" s="454"/>
      <c r="AH187" s="74"/>
      <c r="AI187" s="75"/>
      <c r="AJ187" s="276"/>
      <c r="AK187" s="254"/>
      <c r="AL187" s="255"/>
      <c r="AM187" s="74"/>
      <c r="AN187" s="75"/>
      <c r="AO187" s="78"/>
      <c r="AP187" s="74"/>
      <c r="AQ187" s="256"/>
      <c r="AR187" s="74"/>
      <c r="AS187" s="112"/>
      <c r="AT187" s="247"/>
      <c r="AU187" s="247"/>
      <c r="AV187" s="247"/>
      <c r="AW187" s="317"/>
      <c r="AX187" s="387"/>
      <c r="AY187" s="514"/>
      <c r="AZ187" s="84"/>
      <c r="BA187" s="64"/>
      <c r="BB187" s="63"/>
      <c r="BC187" s="312"/>
      <c r="BD187" s="139"/>
      <c r="BE187" s="374"/>
      <c r="BF187" s="375"/>
      <c r="BG187" s="894"/>
      <c r="BH187" s="143"/>
      <c r="BI187" s="143"/>
      <c r="BJ187" s="143"/>
      <c r="BK187" s="143"/>
      <c r="BL187" s="143"/>
      <c r="BM187" s="143"/>
      <c r="BN187" s="143"/>
      <c r="BO187" s="143"/>
      <c r="BP187" s="146"/>
      <c r="BQ187" s="147"/>
      <c r="BR187" s="1860"/>
      <c r="BS187" s="1862"/>
      <c r="BT187" s="1862"/>
      <c r="BU187" s="1944"/>
      <c r="BV187" s="1918"/>
      <c r="BW187" s="385"/>
      <c r="BX187" s="214"/>
      <c r="BY187" s="214"/>
      <c r="BZ187" s="885"/>
      <c r="CA187" s="886"/>
      <c r="CB187" s="644"/>
      <c r="CC187" s="531"/>
      <c r="CD187" s="887"/>
      <c r="CE187" s="879"/>
      <c r="CF187" s="880"/>
      <c r="CG187" s="881"/>
      <c r="CH187" s="882"/>
      <c r="CI187" s="888"/>
      <c r="CJ187" s="715"/>
    </row>
    <row r="188" spans="1:88" ht="33.75" customHeight="1">
      <c r="A188" s="148" t="s">
        <v>86</v>
      </c>
      <c r="B188" s="149">
        <f>COUNTIF(A183:A187,$B$1)</f>
        <v>1</v>
      </c>
      <c r="C188" s="150"/>
      <c r="D188" s="151"/>
      <c r="E188" s="151"/>
      <c r="F188" s="151"/>
      <c r="G188" s="152">
        <f>SUMIF(A183:A187,$B$1,G183:G187)</f>
        <v>20</v>
      </c>
      <c r="H188" s="152">
        <f>SUMIF(A183:A187,$B$1,H183:H187)</f>
        <v>20</v>
      </c>
      <c r="I188" s="152">
        <f>SUM(I183:I187)</f>
        <v>180</v>
      </c>
      <c r="J188" s="152"/>
      <c r="K188" s="152"/>
      <c r="L188" s="153">
        <f ca="1">SUMIF(A183:A187,$B$1,L183:L187)</f>
        <v>20</v>
      </c>
      <c r="M188" s="152"/>
      <c r="N188" s="152"/>
      <c r="O188" s="152"/>
      <c r="P188" s="152"/>
      <c r="Q188" s="152"/>
      <c r="R188" s="152"/>
      <c r="S188" s="152"/>
      <c r="T188" s="152"/>
      <c r="U188" s="152"/>
      <c r="V188" s="151"/>
      <c r="W188" s="151"/>
      <c r="X188" s="151"/>
      <c r="Y188" s="152"/>
      <c r="Z188" s="152"/>
      <c r="AA188" s="151"/>
      <c r="AB188" s="151"/>
      <c r="AC188" s="151"/>
      <c r="AD188" s="151"/>
      <c r="AE188" s="154"/>
      <c r="AF188" s="155"/>
      <c r="AG188" s="156"/>
      <c r="AH188" s="152"/>
      <c r="AI188" s="157"/>
      <c r="AJ188" s="296"/>
      <c r="AK188" s="156"/>
      <c r="AL188" s="156"/>
      <c r="AM188" s="152"/>
      <c r="AN188" s="157"/>
      <c r="AO188" s="297">
        <f>COUNTA(AO183:AO187)</f>
        <v>1</v>
      </c>
      <c r="AP188" s="152">
        <f>SUM(AP183:AP187)</f>
        <v>49</v>
      </c>
      <c r="AQ188" s="152">
        <f>SUM(AQ183:AQ187)</f>
        <v>126</v>
      </c>
      <c r="AR188" s="161"/>
      <c r="AS188" s="151"/>
      <c r="AT188" s="151"/>
      <c r="AU188" s="151"/>
      <c r="AV188" s="151"/>
      <c r="AW188" s="151"/>
      <c r="AX188" s="151"/>
      <c r="AY188" s="151"/>
      <c r="AZ188" s="163">
        <f>SUM(AZ183:AZ187)</f>
        <v>23</v>
      </c>
      <c r="BA188" s="163">
        <f>SUM(BA183:BA187)</f>
        <v>207</v>
      </c>
      <c r="BB188" s="163">
        <f>SUM(BB183:BB187)</f>
        <v>3</v>
      </c>
      <c r="BC188" s="221">
        <f>IF(COUNT(BC183:BC187)=0,"-",AVERAGE(BC183:BC187))</f>
        <v>1.1499999999999999</v>
      </c>
      <c r="BD188" s="165"/>
      <c r="BE188" s="340"/>
      <c r="BF188" s="340"/>
      <c r="BG188" s="341"/>
      <c r="BH188" s="895"/>
      <c r="BI188" s="895"/>
      <c r="BJ188" s="895"/>
      <c r="BK188" s="895"/>
      <c r="BL188" s="895"/>
      <c r="BM188" s="895"/>
      <c r="BN188" s="895"/>
      <c r="BO188" s="895"/>
      <c r="BP188" s="341"/>
      <c r="BQ188" s="896"/>
      <c r="BR188" s="1868">
        <f>COUNTIF(BR183:BR187,"&gt;0")</f>
        <v>0</v>
      </c>
      <c r="BS188" s="1867"/>
      <c r="BT188" s="1870">
        <f>COUNTIF(BT183:BT187,"&gt;0")</f>
        <v>0</v>
      </c>
      <c r="BU188" s="1937"/>
      <c r="BV188" s="1919"/>
      <c r="BW188" s="571"/>
      <c r="BX188" s="573"/>
      <c r="BY188" s="575"/>
      <c r="BZ188" s="171"/>
      <c r="CA188" s="548"/>
      <c r="CB188" s="173">
        <f>AO188</f>
        <v>1</v>
      </c>
      <c r="CC188" s="173">
        <f>COUNTIF(CC183:CC187,"=0")</f>
        <v>0</v>
      </c>
      <c r="CD188" s="174">
        <f>SUM(COUNTIF(CC183:CC187,"&lt;0"),COUNTIF(CC183:CC187,"&gt;0"))</f>
        <v>0</v>
      </c>
      <c r="CE188" s="225"/>
      <c r="CF188" s="226"/>
      <c r="CG188" s="227"/>
      <c r="CH188" s="228"/>
      <c r="CI188" s="731"/>
      <c r="CJ188" s="715"/>
    </row>
    <row r="189" spans="1:88" ht="33.75" customHeight="1">
      <c r="A189" s="179" t="s">
        <v>87</v>
      </c>
      <c r="B189" s="180">
        <f>COUNT(A183:A187)</f>
        <v>1</v>
      </c>
      <c r="C189" s="181"/>
      <c r="D189" s="182"/>
      <c r="E189" s="182"/>
      <c r="F189" s="182"/>
      <c r="G189" s="184">
        <f>SUM(G183:G187)</f>
        <v>20</v>
      </c>
      <c r="H189" s="184">
        <f>SUMIF(A183:A187,"&gt;0",H183:H187)</f>
        <v>20</v>
      </c>
      <c r="I189" s="184"/>
      <c r="J189" s="184">
        <f>SUM(J183:J187)</f>
        <v>180</v>
      </c>
      <c r="K189" s="184"/>
      <c r="L189" s="184"/>
      <c r="M189" s="184"/>
      <c r="N189" s="184"/>
      <c r="O189" s="184"/>
      <c r="P189" s="184"/>
      <c r="Q189" s="184"/>
      <c r="R189" s="184"/>
      <c r="S189" s="185"/>
      <c r="T189" s="185">
        <f>SUMIF(AG183:AG187,"перех.",T183:T187)</f>
        <v>0</v>
      </c>
      <c r="U189" s="185"/>
      <c r="V189" s="182"/>
      <c r="W189" s="182"/>
      <c r="X189" s="182"/>
      <c r="Y189" s="185">
        <f>SUMIF(AM183:AM187,"перех.",Y183:Y187)</f>
        <v>0</v>
      </c>
      <c r="Z189" s="185"/>
      <c r="AA189" s="182"/>
      <c r="AB189" s="182"/>
      <c r="AC189" s="182"/>
      <c r="AD189" s="182"/>
      <c r="AE189" s="186"/>
      <c r="AF189" s="186"/>
      <c r="AG189" s="186"/>
      <c r="AH189" s="184">
        <f>COUNT(AI183:AI187)</f>
        <v>1</v>
      </c>
      <c r="AI189" s="184">
        <f>SUM(AI183:AI187)</f>
        <v>435</v>
      </c>
      <c r="AJ189" s="186"/>
      <c r="AK189" s="186"/>
      <c r="AL189" s="186"/>
      <c r="AM189" s="184">
        <f>COUNT(AN183:AN187)</f>
        <v>1</v>
      </c>
      <c r="AN189" s="184">
        <f>SUM(AN183:AN187)</f>
        <v>468</v>
      </c>
      <c r="AO189" s="182"/>
      <c r="AP189" s="182"/>
      <c r="AQ189" s="182"/>
      <c r="AR189" s="187"/>
      <c r="AS189" s="182"/>
      <c r="AT189" s="182"/>
      <c r="AU189" s="182"/>
      <c r="AV189" s="182"/>
      <c r="AW189" s="182"/>
      <c r="AX189" s="182"/>
      <c r="AY189" s="182"/>
      <c r="AZ189" s="184"/>
      <c r="BA189" s="184"/>
      <c r="BB189" s="184"/>
      <c r="BC189" s="184"/>
      <c r="BD189" s="188">
        <f>SUM(BD183:BD187)</f>
        <v>27</v>
      </c>
      <c r="BE189" s="535"/>
      <c r="BF189" s="535"/>
      <c r="BG189" s="476"/>
      <c r="BH189" s="900"/>
      <c r="BI189" s="900"/>
      <c r="BJ189" s="900"/>
      <c r="BK189" s="900"/>
      <c r="BL189" s="900"/>
      <c r="BM189" s="900"/>
      <c r="BN189" s="900"/>
      <c r="BO189" s="900"/>
      <c r="BP189" s="307"/>
      <c r="BQ189" s="901"/>
      <c r="BR189" s="1872">
        <f>SUMIF(BR183:BR187,"&gt;0",BR183:BR187)</f>
        <v>0</v>
      </c>
      <c r="BS189" s="1873">
        <f>SUMIF(BS183:BS187,"&gt;0",BS183:BS187)</f>
        <v>0</v>
      </c>
      <c r="BT189" s="1874">
        <f>SUMIF(BT183:BT187,"&gt;0",BT183:BT187)</f>
        <v>0</v>
      </c>
      <c r="BU189" s="1938">
        <f>SUMIF(BU183:BU187,"&gt;0",BU183:BU187)</f>
        <v>0</v>
      </c>
      <c r="BV189" s="1920"/>
      <c r="BW189" s="852"/>
      <c r="BX189" s="852"/>
      <c r="BY189" s="852"/>
      <c r="BZ189" s="360"/>
      <c r="CA189" s="230"/>
      <c r="CB189" s="197">
        <f>SUM(CB183:CB187)</f>
        <v>-506</v>
      </c>
      <c r="CC189" s="197">
        <f>SUMIF(CC183:CC187,"=0",CD183:CD187)</f>
        <v>0</v>
      </c>
      <c r="CD189" s="198">
        <f>SUMIF(CC183:CC187,"&lt;&gt;0",CD183:CD187)</f>
        <v>0</v>
      </c>
      <c r="CE189" s="197"/>
      <c r="CF189" s="197"/>
      <c r="CG189" s="197"/>
      <c r="CH189" s="197"/>
      <c r="CI189" s="744"/>
      <c r="CJ189" s="715"/>
    </row>
    <row r="190" spans="1:88" ht="12.75" hidden="1" customHeight="1" outlineLevel="1">
      <c r="A190" s="804"/>
      <c r="B190" s="805"/>
      <c r="C190" s="805"/>
      <c r="D190" s="805"/>
      <c r="E190" s="805"/>
      <c r="F190" s="806"/>
      <c r="G190" s="805"/>
      <c r="H190" s="805"/>
      <c r="I190" s="805"/>
      <c r="J190" s="805"/>
      <c r="K190" s="805"/>
      <c r="L190" s="805"/>
      <c r="M190" s="805"/>
      <c r="N190" s="805"/>
      <c r="O190" s="805"/>
      <c r="P190" s="805"/>
      <c r="Q190" s="805"/>
      <c r="R190" s="805"/>
      <c r="S190" s="805"/>
      <c r="T190" s="805"/>
      <c r="U190" s="805"/>
      <c r="V190" s="805"/>
      <c r="W190" s="805"/>
      <c r="X190" s="805"/>
      <c r="Y190" s="805"/>
      <c r="Z190" s="805"/>
      <c r="AA190" s="805"/>
      <c r="AB190" s="805"/>
      <c r="AC190" s="805"/>
      <c r="AD190" s="806"/>
      <c r="AE190" s="807"/>
      <c r="AF190" s="808"/>
      <c r="AG190" s="808"/>
      <c r="AH190" s="809"/>
      <c r="AI190" s="809"/>
      <c r="AJ190" s="810"/>
      <c r="AK190" s="808"/>
      <c r="AL190" s="808"/>
      <c r="AM190" s="809"/>
      <c r="AN190" s="809"/>
      <c r="AO190" s="805"/>
      <c r="AP190" s="805"/>
      <c r="AQ190" s="805"/>
      <c r="AR190" s="805"/>
      <c r="AS190" s="805"/>
      <c r="AT190" s="805"/>
      <c r="AU190" s="805"/>
      <c r="AV190" s="805"/>
      <c r="AW190" s="805"/>
      <c r="AX190" s="805"/>
      <c r="AY190" s="805"/>
      <c r="AZ190" s="805"/>
      <c r="BA190" s="805"/>
      <c r="BB190" s="805"/>
      <c r="BC190" s="805"/>
      <c r="BD190" s="811"/>
      <c r="BE190" s="812"/>
      <c r="BF190" s="813"/>
      <c r="BG190" s="813"/>
      <c r="BH190" s="902"/>
      <c r="BI190" s="902"/>
      <c r="BJ190" s="902"/>
      <c r="BK190" s="902"/>
      <c r="BL190" s="902"/>
      <c r="BM190" s="902"/>
      <c r="BN190" s="902"/>
      <c r="BO190" s="902"/>
      <c r="BP190" s="379"/>
      <c r="BR190" s="853"/>
      <c r="BS190" s="854"/>
      <c r="BT190" s="854"/>
      <c r="BU190" s="854"/>
      <c r="BV190" s="855"/>
      <c r="BW190" s="856"/>
      <c r="BX190" s="856"/>
      <c r="BY190" s="856"/>
      <c r="BZ190" s="52"/>
      <c r="CA190" s="53"/>
      <c r="CB190" s="53"/>
      <c r="CC190" s="53"/>
      <c r="CD190" s="206"/>
      <c r="CE190" s="216"/>
      <c r="CF190" s="268"/>
      <c r="CG190" s="216"/>
      <c r="CH190" s="268"/>
      <c r="CI190" s="735"/>
      <c r="CJ190" s="715"/>
    </row>
    <row r="191" spans="1:88" ht="33.75" hidden="1" customHeight="1" outlineLevel="1" collapsed="1">
      <c r="A191" s="2143" t="s">
        <v>303</v>
      </c>
      <c r="B191" s="2148"/>
      <c r="C191" s="2148"/>
      <c r="D191" s="2148"/>
      <c r="E191" s="2148"/>
      <c r="F191" s="2148"/>
      <c r="G191" s="2148"/>
      <c r="H191" s="362"/>
      <c r="I191" s="362"/>
      <c r="J191" s="362"/>
      <c r="K191" s="362"/>
      <c r="L191" s="362"/>
      <c r="M191" s="362"/>
      <c r="N191" s="362"/>
      <c r="O191" s="362"/>
      <c r="P191" s="362"/>
      <c r="Q191" s="362"/>
      <c r="R191" s="362"/>
      <c r="S191" s="362"/>
      <c r="T191" s="362"/>
      <c r="U191" s="362"/>
      <c r="V191" s="362"/>
      <c r="W191" s="362"/>
      <c r="X191" s="362"/>
      <c r="Y191" s="362"/>
      <c r="Z191" s="362"/>
      <c r="AA191" s="362"/>
      <c r="AB191" s="362"/>
      <c r="AC191" s="362"/>
      <c r="AD191" s="814"/>
      <c r="AE191" s="814"/>
      <c r="AF191" s="362"/>
      <c r="AG191" s="362"/>
      <c r="AH191" s="362"/>
      <c r="AI191" s="362"/>
      <c r="AJ191" s="362"/>
      <c r="AK191" s="362"/>
      <c r="AL191" s="362"/>
      <c r="AM191" s="362"/>
      <c r="AN191" s="362"/>
      <c r="AO191" s="362"/>
      <c r="AP191" s="362"/>
      <c r="AQ191" s="362"/>
      <c r="AR191" s="362"/>
      <c r="AS191" s="362"/>
      <c r="AT191" s="362"/>
      <c r="AU191" s="362"/>
      <c r="AV191" s="362"/>
      <c r="AW191" s="362"/>
      <c r="AX191" s="362"/>
      <c r="AY191" s="362"/>
      <c r="AZ191" s="362"/>
      <c r="BA191" s="362"/>
      <c r="BB191" s="362"/>
      <c r="BC191" s="362"/>
      <c r="BD191" s="363"/>
      <c r="BE191" s="363"/>
      <c r="BF191" s="364"/>
      <c r="BG191" s="364"/>
      <c r="BH191" s="903"/>
      <c r="BI191" s="903"/>
      <c r="BJ191" s="903"/>
      <c r="BK191" s="903"/>
      <c r="BL191" s="903"/>
      <c r="BM191" s="903"/>
      <c r="BN191" s="903"/>
      <c r="BO191" s="903"/>
      <c r="BP191" s="364"/>
      <c r="BQ191" s="904"/>
      <c r="BR191" s="96"/>
      <c r="BS191" s="97"/>
      <c r="BT191" s="97"/>
      <c r="BU191" s="97"/>
      <c r="BV191" s="100"/>
      <c r="BW191" s="97"/>
      <c r="BX191" s="97"/>
      <c r="BY191" s="97"/>
      <c r="BZ191" s="369"/>
      <c r="CA191" s="365"/>
      <c r="CB191" s="365"/>
      <c r="CC191" s="365"/>
      <c r="CD191" s="244"/>
      <c r="CE191" s="905"/>
      <c r="CF191" s="820"/>
      <c r="CG191" s="905"/>
      <c r="CH191" s="820"/>
      <c r="CI191" s="369"/>
      <c r="CJ191" s="715"/>
    </row>
    <row r="192" spans="1:88" ht="33.75" hidden="1" customHeight="1" outlineLevel="1">
      <c r="A192" s="484" t="s">
        <v>95</v>
      </c>
      <c r="B192" s="247"/>
      <c r="C192" s="247"/>
      <c r="D192" s="612"/>
      <c r="E192" s="62"/>
      <c r="F192" s="247"/>
      <c r="G192" s="80"/>
      <c r="H192" s="80"/>
      <c r="I192" s="80"/>
      <c r="J192" s="80"/>
      <c r="K192" s="271"/>
      <c r="L192" s="80"/>
      <c r="M192" s="68"/>
      <c r="N192" s="68"/>
      <c r="O192" s="70"/>
      <c r="P192" s="70"/>
      <c r="Q192" s="70"/>
      <c r="R192" s="70"/>
      <c r="S192" s="249"/>
      <c r="T192" s="250"/>
      <c r="U192" s="70"/>
      <c r="V192" s="70"/>
      <c r="W192" s="70"/>
      <c r="X192" s="70"/>
      <c r="Y192" s="64"/>
      <c r="Z192" s="70"/>
      <c r="AA192" s="272"/>
      <c r="AB192" s="70"/>
      <c r="AC192" s="251"/>
      <c r="AD192" s="274" t="s">
        <v>257</v>
      </c>
      <c r="AE192" s="724"/>
      <c r="AF192" s="135"/>
      <c r="AG192" s="555"/>
      <c r="AH192" s="74"/>
      <c r="AI192" s="75"/>
      <c r="AJ192" s="319"/>
      <c r="AK192" s="288"/>
      <c r="AL192" s="288">
        <f>AK192</f>
        <v>0</v>
      </c>
      <c r="AM192" s="74"/>
      <c r="AN192" s="75"/>
      <c r="AO192" s="78"/>
      <c r="AP192" s="74"/>
      <c r="AQ192" s="63"/>
      <c r="AR192" s="257"/>
      <c r="AS192" s="80"/>
      <c r="AT192" s="68"/>
      <c r="AU192" s="68"/>
      <c r="AV192" s="68"/>
      <c r="AW192" s="68"/>
      <c r="AX192" s="258"/>
      <c r="AY192" s="83" t="s">
        <v>85</v>
      </c>
      <c r="AZ192" s="311" t="str">
        <f>IF(AP192&lt;1,"-",AP192-Y192)</f>
        <v>-</v>
      </c>
      <c r="BA192" s="64" t="str">
        <f>IF(AZ192="-","-",($B$2-AO192+1)*AZ192)</f>
        <v>-</v>
      </c>
      <c r="BB192" s="63" t="str">
        <f>IF(AZ192="-","-",AZ192-H192)</f>
        <v>-</v>
      </c>
      <c r="BC192" s="86"/>
      <c r="BD192" s="139"/>
      <c r="BE192" s="455"/>
      <c r="BF192" s="703"/>
      <c r="BG192" s="90"/>
      <c r="BH192" s="457"/>
      <c r="BI192" s="450"/>
      <c r="BJ192" s="450"/>
      <c r="BK192" s="91"/>
      <c r="BL192" s="91"/>
      <c r="BM192" s="91"/>
      <c r="BN192" s="450" t="str">
        <f>IF(BH192=0,"-",BH192-AP192)</f>
        <v>-</v>
      </c>
      <c r="BO192" s="457" t="str">
        <f>IF(BI192=0,"-",BI192-AQ192)</f>
        <v>-</v>
      </c>
      <c r="BP192" s="94" t="str">
        <f>IF(BN192="-","-",AZ192+BN192)</f>
        <v>-</v>
      </c>
      <c r="BQ192" s="95" t="str">
        <f>IF(BN192="-","-",(($B$2-AO192+1)*(AZ192+BN192)))</f>
        <v>-</v>
      </c>
      <c r="BR192" s="315"/>
      <c r="BS192" s="214"/>
      <c r="BT192" s="131"/>
      <c r="BU192" s="215"/>
      <c r="BV192" s="99"/>
      <c r="BW192" s="215"/>
      <c r="BX192" s="214"/>
      <c r="BY192" s="214"/>
      <c r="BZ192" s="101"/>
      <c r="CA192" s="102"/>
      <c r="CB192" s="103"/>
      <c r="CC192" s="104"/>
      <c r="CD192" s="105"/>
      <c r="CE192" s="106"/>
      <c r="CF192" s="107"/>
      <c r="CG192" s="108"/>
      <c r="CH192" s="377"/>
      <c r="CI192" s="860" t="s">
        <v>127</v>
      </c>
      <c r="CJ192" s="715"/>
    </row>
    <row r="193" spans="1:89" ht="23.25" hidden="1" customHeight="1" outlineLevel="1">
      <c r="A193" s="484"/>
      <c r="B193" s="247"/>
      <c r="C193" s="247"/>
      <c r="D193" s="612"/>
      <c r="E193" s="62"/>
      <c r="F193" s="247"/>
      <c r="G193" s="80"/>
      <c r="H193" s="80"/>
      <c r="I193" s="80"/>
      <c r="J193" s="80"/>
      <c r="K193" s="271"/>
      <c r="L193" s="65"/>
      <c r="M193" s="68"/>
      <c r="N193" s="68"/>
      <c r="O193" s="68"/>
      <c r="P193" s="70"/>
      <c r="Q193" s="70"/>
      <c r="R193" s="70"/>
      <c r="S193" s="249"/>
      <c r="T193" s="250"/>
      <c r="U193" s="70"/>
      <c r="V193" s="70"/>
      <c r="W193" s="70"/>
      <c r="X193" s="70"/>
      <c r="Y193" s="64"/>
      <c r="Z193" s="70"/>
      <c r="AA193" s="70"/>
      <c r="AB193" s="70"/>
      <c r="AC193" s="251"/>
      <c r="AD193" s="274"/>
      <c r="AE193" s="724"/>
      <c r="AF193" s="135"/>
      <c r="AG193" s="555"/>
      <c r="AH193" s="74"/>
      <c r="AI193" s="75"/>
      <c r="AJ193" s="319"/>
      <c r="AK193" s="288"/>
      <c r="AL193" s="288"/>
      <c r="AM193" s="74"/>
      <c r="AN193" s="75"/>
      <c r="AO193" s="78"/>
      <c r="AP193" s="74"/>
      <c r="AQ193" s="256"/>
      <c r="AR193" s="257"/>
      <c r="AS193" s="80"/>
      <c r="AT193" s="247"/>
      <c r="AU193" s="247"/>
      <c r="AV193" s="247"/>
      <c r="AW193" s="317"/>
      <c r="AX193" s="387"/>
      <c r="AY193" s="83" t="s">
        <v>84</v>
      </c>
      <c r="AZ193" s="311"/>
      <c r="BA193" s="63"/>
      <c r="BB193" s="63"/>
      <c r="BC193" s="64"/>
      <c r="BD193" s="516"/>
      <c r="BE193" s="455"/>
      <c r="BF193" s="703"/>
      <c r="BG193" s="90"/>
      <c r="BH193" s="457"/>
      <c r="BI193" s="450"/>
      <c r="BJ193" s="450"/>
      <c r="BK193" s="91"/>
      <c r="BL193" s="91"/>
      <c r="BM193" s="91"/>
      <c r="BN193" s="450"/>
      <c r="BO193" s="457"/>
      <c r="BP193" s="94"/>
      <c r="BQ193" s="95"/>
      <c r="BR193" s="130"/>
      <c r="BS193" s="214"/>
      <c r="BT193" s="131"/>
      <c r="BU193" s="215"/>
      <c r="BV193" s="99"/>
      <c r="BW193" s="385"/>
      <c r="BX193" s="214"/>
      <c r="BY193" s="214"/>
      <c r="BZ193" s="101"/>
      <c r="CA193" s="102"/>
      <c r="CB193" s="103"/>
      <c r="CC193" s="104"/>
      <c r="CD193" s="105"/>
      <c r="CE193" s="106"/>
      <c r="CF193" s="107"/>
      <c r="CG193" s="108"/>
      <c r="CH193" s="377"/>
      <c r="CI193" s="860" t="s">
        <v>127</v>
      </c>
      <c r="CJ193" s="715"/>
    </row>
    <row r="194" spans="1:89" ht="23.25" hidden="1" customHeight="1" outlineLevel="1">
      <c r="A194" s="484"/>
      <c r="B194" s="247"/>
      <c r="C194" s="247"/>
      <c r="D194" s="612"/>
      <c r="E194" s="62"/>
      <c r="F194" s="247"/>
      <c r="G194" s="80"/>
      <c r="H194" s="80"/>
      <c r="I194" s="80"/>
      <c r="J194" s="80"/>
      <c r="K194" s="271"/>
      <c r="L194" s="65"/>
      <c r="M194" s="68"/>
      <c r="N194" s="68"/>
      <c r="O194" s="70"/>
      <c r="P194" s="70"/>
      <c r="Q194" s="70"/>
      <c r="R194" s="70"/>
      <c r="S194" s="249"/>
      <c r="T194" s="250"/>
      <c r="U194" s="70"/>
      <c r="V194" s="70"/>
      <c r="W194" s="70"/>
      <c r="X194" s="70"/>
      <c r="Y194" s="630"/>
      <c r="Z194" s="631"/>
      <c r="AA194" s="272"/>
      <c r="AB194" s="635"/>
      <c r="AC194" s="251"/>
      <c r="AD194" s="274"/>
      <c r="AE194" s="724"/>
      <c r="AF194" s="135"/>
      <c r="AG194" s="555"/>
      <c r="AH194" s="74"/>
      <c r="AI194" s="75"/>
      <c r="AJ194" s="76"/>
      <c r="AK194" s="77"/>
      <c r="AL194" s="288"/>
      <c r="AM194" s="74"/>
      <c r="AN194" s="75"/>
      <c r="AO194" s="78"/>
      <c r="AP194" s="74"/>
      <c r="AQ194" s="63"/>
      <c r="AR194" s="257"/>
      <c r="AS194" s="80"/>
      <c r="AT194" s="68"/>
      <c r="AU194" s="68"/>
      <c r="AV194" s="68"/>
      <c r="AW194" s="68"/>
      <c r="AX194" s="258"/>
      <c r="AY194" s="83" t="s">
        <v>84</v>
      </c>
      <c r="AZ194" s="311"/>
      <c r="BA194" s="63"/>
      <c r="BB194" s="63"/>
      <c r="BC194" s="64"/>
      <c r="BD194" s="516"/>
      <c r="BE194" s="455"/>
      <c r="BF194" s="703"/>
      <c r="BG194" s="703"/>
      <c r="BH194" s="457"/>
      <c r="BI194" s="450"/>
      <c r="BJ194" s="450"/>
      <c r="BK194" s="91"/>
      <c r="BL194" s="91"/>
      <c r="BM194" s="91"/>
      <c r="BN194" s="450"/>
      <c r="BO194" s="457"/>
      <c r="BP194" s="94"/>
      <c r="BQ194" s="95"/>
      <c r="BR194" s="130"/>
      <c r="BS194" s="214"/>
      <c r="BT194" s="131"/>
      <c r="BU194" s="215"/>
      <c r="BV194" s="99"/>
      <c r="BW194" s="385"/>
      <c r="BX194" s="214"/>
      <c r="BY194" s="214"/>
      <c r="BZ194" s="101"/>
      <c r="CA194" s="102"/>
      <c r="CB194" s="103"/>
      <c r="CC194" s="104"/>
      <c r="CD194" s="105"/>
      <c r="CE194" s="106"/>
      <c r="CF194" s="107"/>
      <c r="CG194" s="108"/>
      <c r="CH194" s="377"/>
      <c r="CI194" s="860" t="s">
        <v>127</v>
      </c>
      <c r="CJ194" s="715"/>
    </row>
    <row r="195" spans="1:89" ht="23.25" hidden="1" customHeight="1" outlineLevel="1">
      <c r="A195" s="484"/>
      <c r="B195" s="247"/>
      <c r="C195" s="247"/>
      <c r="D195" s="248"/>
      <c r="E195" s="248"/>
      <c r="F195" s="247"/>
      <c r="G195" s="80"/>
      <c r="H195" s="80"/>
      <c r="I195" s="80"/>
      <c r="J195" s="80"/>
      <c r="K195" s="271"/>
      <c r="L195" s="889"/>
      <c r="M195" s="68"/>
      <c r="N195" s="68"/>
      <c r="O195" s="70"/>
      <c r="P195" s="70"/>
      <c r="Q195" s="70"/>
      <c r="R195" s="70"/>
      <c r="S195" s="249"/>
      <c r="T195" s="250"/>
      <c r="U195" s="70"/>
      <c r="V195" s="70"/>
      <c r="W195" s="70"/>
      <c r="X195" s="70"/>
      <c r="Y195" s="250"/>
      <c r="Z195" s="70"/>
      <c r="AA195" s="70"/>
      <c r="AB195" s="70"/>
      <c r="AC195" s="251"/>
      <c r="AD195" s="890"/>
      <c r="AE195" s="906"/>
      <c r="AF195" s="135"/>
      <c r="AG195" s="555"/>
      <c r="AH195" s="74"/>
      <c r="AI195" s="75"/>
      <c r="AJ195" s="319"/>
      <c r="AK195" s="288"/>
      <c r="AL195" s="77"/>
      <c r="AM195" s="74"/>
      <c r="AN195" s="75" t="str">
        <f t="shared" ref="AN195:AN201" si="11">IF(Y195="","",AM195*Y195)</f>
        <v/>
      </c>
      <c r="AO195" s="78"/>
      <c r="AP195" s="74"/>
      <c r="AQ195" s="256"/>
      <c r="AR195" s="74"/>
      <c r="AS195" s="80"/>
      <c r="AT195" s="247"/>
      <c r="AU195" s="247"/>
      <c r="AV195" s="247"/>
      <c r="AW195" s="317"/>
      <c r="AX195" s="387"/>
      <c r="AY195" s="448"/>
      <c r="AZ195" s="311" t="str">
        <f t="shared" ref="AZ195:AZ201" si="12">IF(AP195&lt;1,"-",AP195-Y195)</f>
        <v>-</v>
      </c>
      <c r="BA195" s="63" t="str">
        <f t="shared" ref="BA195:BA201" si="13">IF(AZ195="-","-",($B$2-AO195+1)*AZ195)</f>
        <v>-</v>
      </c>
      <c r="BB195" s="63" t="str">
        <f t="shared" ref="BB195:BB201" si="14">IF(AZ195="-","-",AZ195-H195)</f>
        <v>-</v>
      </c>
      <c r="BC195" s="64"/>
      <c r="BD195" s="516"/>
      <c r="BE195" s="511"/>
      <c r="BF195" s="703"/>
      <c r="BG195" s="703"/>
      <c r="BH195" s="457"/>
      <c r="BI195" s="450"/>
      <c r="BJ195" s="450"/>
      <c r="BK195" s="91"/>
      <c r="BL195" s="91"/>
      <c r="BM195" s="91"/>
      <c r="BN195" s="450"/>
      <c r="BO195" s="457"/>
      <c r="BP195" s="94"/>
      <c r="BQ195" s="95"/>
      <c r="BR195" s="130"/>
      <c r="BS195" s="131"/>
      <c r="BT195" s="131"/>
      <c r="BU195" s="132"/>
      <c r="BV195" s="99"/>
      <c r="BW195" s="385"/>
      <c r="BX195" s="214"/>
      <c r="BY195" s="214"/>
      <c r="BZ195" s="101"/>
      <c r="CA195" s="102"/>
      <c r="CB195" s="103"/>
      <c r="CC195" s="104"/>
      <c r="CD195" s="105"/>
      <c r="CE195" s="106"/>
      <c r="CF195" s="107"/>
      <c r="CG195" s="108"/>
      <c r="CH195" s="377"/>
      <c r="CI195" s="860" t="s">
        <v>127</v>
      </c>
      <c r="CJ195" s="715"/>
    </row>
    <row r="196" spans="1:89" ht="23.25" hidden="1" customHeight="1" outlineLevel="1">
      <c r="A196" s="484"/>
      <c r="B196" s="247"/>
      <c r="C196" s="247"/>
      <c r="D196" s="248"/>
      <c r="E196" s="248"/>
      <c r="F196" s="247"/>
      <c r="G196" s="80"/>
      <c r="H196" s="322"/>
      <c r="I196" s="80"/>
      <c r="J196" s="80"/>
      <c r="K196" s="271"/>
      <c r="L196" s="80"/>
      <c r="M196" s="68"/>
      <c r="N196" s="68"/>
      <c r="O196" s="70"/>
      <c r="P196" s="70"/>
      <c r="Q196" s="70"/>
      <c r="R196" s="70"/>
      <c r="S196" s="249"/>
      <c r="T196" s="250"/>
      <c r="U196" s="70"/>
      <c r="V196" s="70"/>
      <c r="W196" s="70"/>
      <c r="X196" s="70"/>
      <c r="Y196" s="250"/>
      <c r="Z196" s="70"/>
      <c r="AA196" s="70"/>
      <c r="AB196" s="70"/>
      <c r="AC196" s="251"/>
      <c r="AD196" s="274"/>
      <c r="AE196" s="906"/>
      <c r="AF196" s="135"/>
      <c r="AG196" s="555"/>
      <c r="AH196" s="74"/>
      <c r="AI196" s="75"/>
      <c r="AJ196" s="319"/>
      <c r="AK196" s="288"/>
      <c r="AL196" s="77"/>
      <c r="AM196" s="74"/>
      <c r="AN196" s="75" t="str">
        <f t="shared" si="11"/>
        <v/>
      </c>
      <c r="AO196" s="78"/>
      <c r="AP196" s="74"/>
      <c r="AQ196" s="256"/>
      <c r="AR196" s="74"/>
      <c r="AS196" s="80"/>
      <c r="AT196" s="247"/>
      <c r="AU196" s="247"/>
      <c r="AV196" s="247"/>
      <c r="AW196" s="317"/>
      <c r="AX196" s="387"/>
      <c r="AY196" s="448"/>
      <c r="AZ196" s="311" t="str">
        <f t="shared" si="12"/>
        <v>-</v>
      </c>
      <c r="BA196" s="63" t="str">
        <f t="shared" si="13"/>
        <v>-</v>
      </c>
      <c r="BB196" s="63" t="str">
        <f t="shared" si="14"/>
        <v>-</v>
      </c>
      <c r="BC196" s="64"/>
      <c r="BD196" s="516"/>
      <c r="BE196" s="526"/>
      <c r="BF196" s="703"/>
      <c r="BG196" s="90"/>
      <c r="BH196" s="457"/>
      <c r="BI196" s="450"/>
      <c r="BJ196" s="450"/>
      <c r="BK196" s="91"/>
      <c r="BL196" s="91"/>
      <c r="BM196" s="91"/>
      <c r="BN196" s="450"/>
      <c r="BO196" s="457"/>
      <c r="BP196" s="94"/>
      <c r="BQ196" s="95"/>
      <c r="BR196" s="130"/>
      <c r="BS196" s="131"/>
      <c r="BT196" s="131"/>
      <c r="BU196" s="132"/>
      <c r="BV196" s="99"/>
      <c r="BW196" s="385"/>
      <c r="BX196" s="214"/>
      <c r="BY196" s="214"/>
      <c r="BZ196" s="101"/>
      <c r="CA196" s="102"/>
      <c r="CB196" s="103"/>
      <c r="CC196" s="104"/>
      <c r="CD196" s="105"/>
      <c r="CE196" s="106"/>
      <c r="CF196" s="107"/>
      <c r="CG196" s="108"/>
      <c r="CH196" s="377"/>
      <c r="CI196" s="860" t="s">
        <v>127</v>
      </c>
      <c r="CJ196" s="715"/>
    </row>
    <row r="197" spans="1:89" ht="23.25" hidden="1" customHeight="1" outlineLevel="1">
      <c r="A197" s="484"/>
      <c r="B197" s="247"/>
      <c r="C197" s="247"/>
      <c r="D197" s="62"/>
      <c r="E197" s="62"/>
      <c r="F197" s="247"/>
      <c r="G197" s="80"/>
      <c r="H197" s="322"/>
      <c r="I197" s="80"/>
      <c r="J197" s="80"/>
      <c r="K197" s="271"/>
      <c r="L197" s="80"/>
      <c r="M197" s="68"/>
      <c r="N197" s="68"/>
      <c r="O197" s="70"/>
      <c r="P197" s="70"/>
      <c r="Q197" s="70"/>
      <c r="R197" s="70"/>
      <c r="S197" s="249"/>
      <c r="T197" s="250"/>
      <c r="U197" s="70"/>
      <c r="V197" s="70"/>
      <c r="W197" s="70"/>
      <c r="X197" s="70"/>
      <c r="Y197" s="250"/>
      <c r="Z197" s="70"/>
      <c r="AA197" s="70"/>
      <c r="AB197" s="70"/>
      <c r="AC197" s="251"/>
      <c r="AD197" s="274"/>
      <c r="AE197" s="724"/>
      <c r="AF197" s="135"/>
      <c r="AG197" s="135"/>
      <c r="AH197" s="74"/>
      <c r="AI197" s="75"/>
      <c r="AJ197" s="319"/>
      <c r="AK197" s="288"/>
      <c r="AL197" s="77"/>
      <c r="AM197" s="74"/>
      <c r="AN197" s="75" t="str">
        <f t="shared" si="11"/>
        <v/>
      </c>
      <c r="AO197" s="78"/>
      <c r="AP197" s="74"/>
      <c r="AQ197" s="256"/>
      <c r="AR197" s="74"/>
      <c r="AS197" s="80"/>
      <c r="AT197" s="247"/>
      <c r="AU197" s="247"/>
      <c r="AV197" s="247"/>
      <c r="AW197" s="317"/>
      <c r="AX197" s="387"/>
      <c r="AY197" s="448"/>
      <c r="AZ197" s="311" t="str">
        <f t="shared" si="12"/>
        <v>-</v>
      </c>
      <c r="BA197" s="63" t="str">
        <f t="shared" si="13"/>
        <v>-</v>
      </c>
      <c r="BB197" s="63" t="str">
        <f t="shared" si="14"/>
        <v>-</v>
      </c>
      <c r="BC197" s="64"/>
      <c r="BD197" s="516"/>
      <c r="BE197" s="526"/>
      <c r="BF197" s="703"/>
      <c r="BG197" s="703"/>
      <c r="BH197" s="457"/>
      <c r="BI197" s="450"/>
      <c r="BJ197" s="450"/>
      <c r="BK197" s="91"/>
      <c r="BL197" s="91"/>
      <c r="BM197" s="91"/>
      <c r="BN197" s="450"/>
      <c r="BO197" s="457"/>
      <c r="BP197" s="94"/>
      <c r="BQ197" s="95"/>
      <c r="BR197" s="130"/>
      <c r="BS197" s="131"/>
      <c r="BT197" s="131"/>
      <c r="BU197" s="132"/>
      <c r="BV197" s="99"/>
      <c r="BW197" s="385"/>
      <c r="BX197" s="214"/>
      <c r="BY197" s="214"/>
      <c r="BZ197" s="101"/>
      <c r="CA197" s="102"/>
      <c r="CB197" s="103"/>
      <c r="CC197" s="104"/>
      <c r="CD197" s="105"/>
      <c r="CE197" s="106"/>
      <c r="CF197" s="107"/>
      <c r="CG197" s="108"/>
      <c r="CH197" s="377"/>
      <c r="CI197" s="860"/>
      <c r="CJ197" s="715"/>
    </row>
    <row r="198" spans="1:89" ht="23.25" hidden="1" customHeight="1" outlineLevel="1">
      <c r="A198" s="484"/>
      <c r="B198" s="247"/>
      <c r="C198" s="247"/>
      <c r="D198" s="62"/>
      <c r="E198" s="62"/>
      <c r="F198" s="247"/>
      <c r="G198" s="80"/>
      <c r="H198" s="322"/>
      <c r="I198" s="80"/>
      <c r="J198" s="80"/>
      <c r="K198" s="271"/>
      <c r="L198" s="80"/>
      <c r="M198" s="68"/>
      <c r="N198" s="68"/>
      <c r="O198" s="70"/>
      <c r="P198" s="70"/>
      <c r="Q198" s="70"/>
      <c r="R198" s="70"/>
      <c r="S198" s="249"/>
      <c r="T198" s="250"/>
      <c r="U198" s="70"/>
      <c r="V198" s="70"/>
      <c r="W198" s="70"/>
      <c r="X198" s="70"/>
      <c r="Y198" s="250"/>
      <c r="Z198" s="70"/>
      <c r="AA198" s="70"/>
      <c r="AB198" s="70"/>
      <c r="AC198" s="251"/>
      <c r="AD198" s="274"/>
      <c r="AE198" s="724"/>
      <c r="AF198" s="135"/>
      <c r="AG198" s="135"/>
      <c r="AH198" s="74"/>
      <c r="AI198" s="75"/>
      <c r="AJ198" s="319"/>
      <c r="AK198" s="288"/>
      <c r="AL198" s="77"/>
      <c r="AM198" s="74"/>
      <c r="AN198" s="75" t="str">
        <f t="shared" si="11"/>
        <v/>
      </c>
      <c r="AO198" s="78"/>
      <c r="AP198" s="74"/>
      <c r="AQ198" s="256"/>
      <c r="AR198" s="74"/>
      <c r="AS198" s="80"/>
      <c r="AT198" s="247"/>
      <c r="AU198" s="247"/>
      <c r="AV198" s="247"/>
      <c r="AW198" s="317"/>
      <c r="AX198" s="387"/>
      <c r="AY198" s="448"/>
      <c r="AZ198" s="311" t="str">
        <f t="shared" si="12"/>
        <v>-</v>
      </c>
      <c r="BA198" s="63" t="str">
        <f t="shared" si="13"/>
        <v>-</v>
      </c>
      <c r="BB198" s="63" t="str">
        <f t="shared" si="14"/>
        <v>-</v>
      </c>
      <c r="BC198" s="64"/>
      <c r="BD198" s="516"/>
      <c r="BE198" s="526"/>
      <c r="BF198" s="703"/>
      <c r="BG198" s="703"/>
      <c r="BH198" s="457"/>
      <c r="BI198" s="450"/>
      <c r="BJ198" s="450"/>
      <c r="BK198" s="91"/>
      <c r="BL198" s="91"/>
      <c r="BM198" s="91"/>
      <c r="BN198" s="450"/>
      <c r="BO198" s="457"/>
      <c r="BP198" s="94"/>
      <c r="BQ198" s="95"/>
      <c r="BR198" s="130"/>
      <c r="BS198" s="131"/>
      <c r="BT198" s="131"/>
      <c r="BU198" s="132"/>
      <c r="BV198" s="99"/>
      <c r="BW198" s="385"/>
      <c r="BX198" s="214"/>
      <c r="BY198" s="214"/>
      <c r="BZ198" s="101"/>
      <c r="CA198" s="102"/>
      <c r="CB198" s="103"/>
      <c r="CC198" s="104"/>
      <c r="CD198" s="105"/>
      <c r="CE198" s="106"/>
      <c r="CF198" s="107"/>
      <c r="CG198" s="108"/>
      <c r="CH198" s="377"/>
      <c r="CI198" s="860"/>
      <c r="CJ198" s="715"/>
    </row>
    <row r="199" spans="1:89" ht="23.25" hidden="1" customHeight="1" outlineLevel="1">
      <c r="A199" s="484"/>
      <c r="B199" s="247"/>
      <c r="C199" s="247"/>
      <c r="D199" s="62"/>
      <c r="E199" s="62"/>
      <c r="F199" s="247"/>
      <c r="G199" s="80"/>
      <c r="H199" s="322"/>
      <c r="I199" s="80"/>
      <c r="J199" s="80"/>
      <c r="K199" s="271"/>
      <c r="L199" s="80"/>
      <c r="M199" s="68"/>
      <c r="N199" s="68"/>
      <c r="O199" s="70"/>
      <c r="P199" s="70"/>
      <c r="Q199" s="70"/>
      <c r="R199" s="70"/>
      <c r="S199" s="249"/>
      <c r="T199" s="250"/>
      <c r="U199" s="70"/>
      <c r="V199" s="70"/>
      <c r="W199" s="70"/>
      <c r="X199" s="70"/>
      <c r="Y199" s="250"/>
      <c r="Z199" s="70"/>
      <c r="AA199" s="70"/>
      <c r="AB199" s="70"/>
      <c r="AC199" s="251"/>
      <c r="AD199" s="274"/>
      <c r="AE199" s="724"/>
      <c r="AF199" s="135"/>
      <c r="AG199" s="135"/>
      <c r="AH199" s="74"/>
      <c r="AI199" s="75"/>
      <c r="AJ199" s="319"/>
      <c r="AK199" s="288"/>
      <c r="AL199" s="77"/>
      <c r="AM199" s="74"/>
      <c r="AN199" s="75" t="str">
        <f t="shared" si="11"/>
        <v/>
      </c>
      <c r="AO199" s="78"/>
      <c r="AP199" s="74"/>
      <c r="AQ199" s="256"/>
      <c r="AR199" s="74"/>
      <c r="AS199" s="80"/>
      <c r="AT199" s="247"/>
      <c r="AU199" s="247"/>
      <c r="AV199" s="247"/>
      <c r="AW199" s="317"/>
      <c r="AX199" s="387"/>
      <c r="AY199" s="448"/>
      <c r="AZ199" s="311" t="str">
        <f t="shared" si="12"/>
        <v>-</v>
      </c>
      <c r="BA199" s="63" t="str">
        <f t="shared" si="13"/>
        <v>-</v>
      </c>
      <c r="BB199" s="63" t="str">
        <f t="shared" si="14"/>
        <v>-</v>
      </c>
      <c r="BC199" s="64"/>
      <c r="BD199" s="516"/>
      <c r="BE199" s="526"/>
      <c r="BF199" s="703"/>
      <c r="BG199" s="703"/>
      <c r="BH199" s="457"/>
      <c r="BI199" s="450"/>
      <c r="BJ199" s="450"/>
      <c r="BK199" s="91"/>
      <c r="BL199" s="91"/>
      <c r="BM199" s="91"/>
      <c r="BN199" s="450"/>
      <c r="BO199" s="457"/>
      <c r="BP199" s="94"/>
      <c r="BQ199" s="95"/>
      <c r="BR199" s="130"/>
      <c r="BS199" s="131"/>
      <c r="BT199" s="131"/>
      <c r="BU199" s="132"/>
      <c r="BV199" s="99"/>
      <c r="BW199" s="385"/>
      <c r="BX199" s="214"/>
      <c r="BY199" s="214"/>
      <c r="BZ199" s="101"/>
      <c r="CA199" s="102"/>
      <c r="CB199" s="103"/>
      <c r="CC199" s="104"/>
      <c r="CD199" s="105"/>
      <c r="CE199" s="106"/>
      <c r="CF199" s="107"/>
      <c r="CG199" s="108"/>
      <c r="CH199" s="377"/>
      <c r="CI199" s="860"/>
      <c r="CJ199" s="715"/>
    </row>
    <row r="200" spans="1:89" ht="23.25" hidden="1" customHeight="1" outlineLevel="1">
      <c r="A200" s="484"/>
      <c r="B200" s="247"/>
      <c r="C200" s="247"/>
      <c r="D200" s="62"/>
      <c r="E200" s="62"/>
      <c r="F200" s="247"/>
      <c r="G200" s="80"/>
      <c r="H200" s="322"/>
      <c r="I200" s="80"/>
      <c r="J200" s="80"/>
      <c r="K200" s="271"/>
      <c r="L200" s="80"/>
      <c r="M200" s="68"/>
      <c r="N200" s="68"/>
      <c r="O200" s="70"/>
      <c r="P200" s="70"/>
      <c r="Q200" s="70"/>
      <c r="R200" s="70"/>
      <c r="S200" s="249"/>
      <c r="T200" s="250"/>
      <c r="U200" s="70"/>
      <c r="V200" s="70"/>
      <c r="W200" s="70"/>
      <c r="X200" s="70"/>
      <c r="Y200" s="250"/>
      <c r="Z200" s="70"/>
      <c r="AA200" s="70"/>
      <c r="AB200" s="70"/>
      <c r="AC200" s="251"/>
      <c r="AD200" s="274"/>
      <c r="AE200" s="724"/>
      <c r="AF200" s="135"/>
      <c r="AG200" s="135"/>
      <c r="AH200" s="74"/>
      <c r="AI200" s="75"/>
      <c r="AJ200" s="319"/>
      <c r="AK200" s="288"/>
      <c r="AL200" s="77"/>
      <c r="AM200" s="74"/>
      <c r="AN200" s="75" t="str">
        <f t="shared" si="11"/>
        <v/>
      </c>
      <c r="AO200" s="78"/>
      <c r="AP200" s="74"/>
      <c r="AQ200" s="256"/>
      <c r="AR200" s="74"/>
      <c r="AS200" s="80"/>
      <c r="AT200" s="247"/>
      <c r="AU200" s="247"/>
      <c r="AV200" s="247"/>
      <c r="AW200" s="317"/>
      <c r="AX200" s="387"/>
      <c r="AY200" s="448"/>
      <c r="AZ200" s="311" t="str">
        <f t="shared" si="12"/>
        <v>-</v>
      </c>
      <c r="BA200" s="63" t="str">
        <f t="shared" si="13"/>
        <v>-</v>
      </c>
      <c r="BB200" s="63" t="str">
        <f t="shared" si="14"/>
        <v>-</v>
      </c>
      <c r="BC200" s="64"/>
      <c r="BD200" s="516"/>
      <c r="BE200" s="455"/>
      <c r="BF200" s="703"/>
      <c r="BG200" s="703"/>
      <c r="BH200" s="391"/>
      <c r="BI200" s="450"/>
      <c r="BJ200" s="390"/>
      <c r="BK200" s="748"/>
      <c r="BL200" s="748"/>
      <c r="BM200" s="748"/>
      <c r="BN200" s="450"/>
      <c r="BO200" s="457"/>
      <c r="BP200" s="94"/>
      <c r="BQ200" s="95"/>
      <c r="BR200" s="130"/>
      <c r="BS200" s="131"/>
      <c r="BT200" s="131"/>
      <c r="BU200" s="132"/>
      <c r="BV200" s="99"/>
      <c r="BW200" s="385"/>
      <c r="BX200" s="214"/>
      <c r="BY200" s="214"/>
      <c r="BZ200" s="101"/>
      <c r="CA200" s="102"/>
      <c r="CB200" s="103"/>
      <c r="CC200" s="104"/>
      <c r="CD200" s="105"/>
      <c r="CE200" s="106"/>
      <c r="CF200" s="107"/>
      <c r="CG200" s="108"/>
      <c r="CH200" s="377"/>
      <c r="CI200" s="860"/>
      <c r="CJ200" s="715"/>
    </row>
    <row r="201" spans="1:89" ht="23.25" hidden="1" customHeight="1" outlineLevel="1">
      <c r="A201" s="484"/>
      <c r="B201" s="247"/>
      <c r="C201" s="247"/>
      <c r="D201" s="62"/>
      <c r="E201" s="62"/>
      <c r="F201" s="247"/>
      <c r="G201" s="80"/>
      <c r="H201" s="322"/>
      <c r="I201" s="80"/>
      <c r="J201" s="80"/>
      <c r="K201" s="271"/>
      <c r="L201" s="80"/>
      <c r="M201" s="68"/>
      <c r="N201" s="68"/>
      <c r="O201" s="70"/>
      <c r="P201" s="70"/>
      <c r="Q201" s="70"/>
      <c r="R201" s="70"/>
      <c r="S201" s="249"/>
      <c r="T201" s="250"/>
      <c r="U201" s="70"/>
      <c r="V201" s="70"/>
      <c r="W201" s="70"/>
      <c r="X201" s="70"/>
      <c r="Y201" s="250"/>
      <c r="Z201" s="70"/>
      <c r="AA201" s="70"/>
      <c r="AB201" s="70"/>
      <c r="AC201" s="251"/>
      <c r="AD201" s="274"/>
      <c r="AE201" s="724"/>
      <c r="AF201" s="135"/>
      <c r="AG201" s="135"/>
      <c r="AH201" s="74"/>
      <c r="AI201" s="75"/>
      <c r="AJ201" s="319"/>
      <c r="AK201" s="288"/>
      <c r="AL201" s="77"/>
      <c r="AM201" s="74"/>
      <c r="AN201" s="75" t="str">
        <f t="shared" si="11"/>
        <v/>
      </c>
      <c r="AO201" s="78"/>
      <c r="AP201" s="74"/>
      <c r="AQ201" s="256"/>
      <c r="AR201" s="74"/>
      <c r="AS201" s="80"/>
      <c r="AT201" s="247"/>
      <c r="AU201" s="247"/>
      <c r="AV201" s="247"/>
      <c r="AW201" s="317"/>
      <c r="AX201" s="387"/>
      <c r="AY201" s="448"/>
      <c r="AZ201" s="311" t="str">
        <f t="shared" si="12"/>
        <v>-</v>
      </c>
      <c r="BA201" s="63" t="str">
        <f t="shared" si="13"/>
        <v>-</v>
      </c>
      <c r="BB201" s="63" t="str">
        <f t="shared" si="14"/>
        <v>-</v>
      </c>
      <c r="BC201" s="64"/>
      <c r="BD201" s="516"/>
      <c r="BE201" s="455"/>
      <c r="BF201" s="703"/>
      <c r="BG201" s="703"/>
      <c r="BH201" s="391"/>
      <c r="BI201" s="450"/>
      <c r="BJ201" s="390"/>
      <c r="BK201" s="748"/>
      <c r="BL201" s="748"/>
      <c r="BM201" s="748"/>
      <c r="BN201" s="450"/>
      <c r="BO201" s="457"/>
      <c r="BP201" s="94"/>
      <c r="BQ201" s="95"/>
      <c r="BR201" s="130"/>
      <c r="BS201" s="131"/>
      <c r="BT201" s="131"/>
      <c r="BU201" s="132"/>
      <c r="BV201" s="99"/>
      <c r="BW201" s="385"/>
      <c r="BX201" s="214"/>
      <c r="BY201" s="214"/>
      <c r="BZ201" s="101"/>
      <c r="CA201" s="102"/>
      <c r="CB201" s="103"/>
      <c r="CC201" s="104"/>
      <c r="CD201" s="105"/>
      <c r="CE201" s="106"/>
      <c r="CF201" s="107"/>
      <c r="CG201" s="108"/>
      <c r="CH201" s="377"/>
      <c r="CI201" s="860"/>
      <c r="CJ201" s="715"/>
    </row>
    <row r="202" spans="1:89" ht="30" hidden="1" customHeight="1" outlineLevel="1" collapsed="1">
      <c r="A202" s="148" t="s">
        <v>86</v>
      </c>
      <c r="B202" s="149">
        <f>COUNTIF(A192:A201,$B$1)</f>
        <v>0</v>
      </c>
      <c r="C202" s="150"/>
      <c r="D202" s="151"/>
      <c r="E202" s="151"/>
      <c r="F202" s="151"/>
      <c r="G202" s="152">
        <f>SUMIF(A192:A201,$B$1,G192:G201)</f>
        <v>0</v>
      </c>
      <c r="H202" s="152">
        <f>SUMIF(A192:A201,$B$1,H192:H201)</f>
        <v>0</v>
      </c>
      <c r="I202" s="152">
        <f>SUM(I192:I201)</f>
        <v>0</v>
      </c>
      <c r="J202" s="152"/>
      <c r="K202" s="152"/>
      <c r="L202" s="153">
        <f>SUMIF(A192:A201,$B$1,L192:L201)</f>
        <v>0</v>
      </c>
      <c r="M202" s="152"/>
      <c r="N202" s="152"/>
      <c r="O202" s="152"/>
      <c r="P202" s="152"/>
      <c r="Q202" s="152"/>
      <c r="R202" s="152"/>
      <c r="S202" s="152"/>
      <c r="T202" s="152"/>
      <c r="U202" s="152"/>
      <c r="V202" s="151"/>
      <c r="W202" s="151"/>
      <c r="X202" s="151"/>
      <c r="Y202" s="152"/>
      <c r="Z202" s="152"/>
      <c r="AA202" s="151"/>
      <c r="AB202" s="151"/>
      <c r="AC202" s="151"/>
      <c r="AD202" s="151"/>
      <c r="AE202" s="154"/>
      <c r="AF202" s="155"/>
      <c r="AG202" s="156"/>
      <c r="AH202" s="152"/>
      <c r="AI202" s="157"/>
      <c r="AJ202" s="296"/>
      <c r="AK202" s="156"/>
      <c r="AL202" s="156"/>
      <c r="AM202" s="152"/>
      <c r="AN202" s="157"/>
      <c r="AO202" s="297">
        <f>COUNTA(AO192:AO201)</f>
        <v>0</v>
      </c>
      <c r="AP202" s="152">
        <f>SUM(AP192:AP201)</f>
        <v>0</v>
      </c>
      <c r="AQ202" s="152">
        <f>SUM(AQ192:AQ201)</f>
        <v>0</v>
      </c>
      <c r="AR202" s="161"/>
      <c r="AS202" s="151"/>
      <c r="AT202" s="151"/>
      <c r="AU202" s="151"/>
      <c r="AV202" s="151"/>
      <c r="AW202" s="151"/>
      <c r="AX202" s="151"/>
      <c r="AY202" s="151"/>
      <c r="AZ202" s="163">
        <f>SUM(AZ192:AZ201)</f>
        <v>0</v>
      </c>
      <c r="BA202" s="163">
        <f>SUM(BA192:BA201)</f>
        <v>0</v>
      </c>
      <c r="BB202" s="163">
        <f>SUM(BB192:BB201)</f>
        <v>0</v>
      </c>
      <c r="BC202" s="221" t="str">
        <f>IF(COUNT(BC192:BC201)=0,"-",AVERAGE(BC192:BC201))</f>
        <v>-</v>
      </c>
      <c r="BD202" s="165"/>
      <c r="BE202" s="907"/>
      <c r="BF202" s="340"/>
      <c r="BG202" s="341"/>
      <c r="BH202" s="341"/>
      <c r="BI202" s="341"/>
      <c r="BJ202" s="341"/>
      <c r="BK202" s="341"/>
      <c r="BL202" s="341"/>
      <c r="BM202" s="341"/>
      <c r="BN202" s="341"/>
      <c r="BO202" s="341"/>
      <c r="BP202" s="163">
        <f>SUM(BP183:BP201)</f>
        <v>0</v>
      </c>
      <c r="BQ202" s="163">
        <f>SUM(BQ183:BQ201)</f>
        <v>0</v>
      </c>
      <c r="BR202" s="897">
        <f>COUNTA(BR183:BR201)</f>
        <v>3</v>
      </c>
      <c r="BS202" s="898">
        <f>SUM(BS192:BS201,BS183:BS187)</f>
        <v>0</v>
      </c>
      <c r="BT202" s="870"/>
      <c r="BU202" s="899">
        <f>SUM(BU192:BU201,BU183:BU187)</f>
        <v>0</v>
      </c>
      <c r="BV202" s="871"/>
      <c r="BW202" s="897">
        <f>COUNTA(BW183:BW201)</f>
        <v>1</v>
      </c>
      <c r="BX202" s="908">
        <f>SUM(BX183:BX201)</f>
        <v>435</v>
      </c>
      <c r="BY202" s="909">
        <f>SUM(BY183:BY201)</f>
        <v>0</v>
      </c>
      <c r="BZ202" s="171"/>
      <c r="CA202" s="548"/>
      <c r="CB202" s="173">
        <f>AO202</f>
        <v>0</v>
      </c>
      <c r="CC202" s="173">
        <f>COUNTIF(CC192:CC201,"=0")</f>
        <v>0</v>
      </c>
      <c r="CD202" s="174">
        <f>SUM(COUNTIF(CC192:CC201,"&lt;0"),COUNTIF(CC192:CC201,"&gt;0"))</f>
        <v>0</v>
      </c>
      <c r="CE202" s="225"/>
      <c r="CF202" s="226"/>
      <c r="CG202" s="227"/>
      <c r="CH202" s="228"/>
      <c r="CI202" s="731"/>
      <c r="CJ202" s="715"/>
    </row>
    <row r="203" spans="1:89" ht="30" hidden="1" customHeight="1" outlineLevel="1">
      <c r="A203" s="179" t="s">
        <v>87</v>
      </c>
      <c r="B203" s="348">
        <f>COUNT(A192:A201)</f>
        <v>0</v>
      </c>
      <c r="C203" s="181"/>
      <c r="D203" s="182"/>
      <c r="E203" s="182"/>
      <c r="F203" s="182"/>
      <c r="G203" s="184">
        <f>SUM(G192:G201)</f>
        <v>0</v>
      </c>
      <c r="H203" s="184">
        <f>SUM(H192:H201)</f>
        <v>0</v>
      </c>
      <c r="I203" s="184"/>
      <c r="J203" s="184">
        <f>SUM(J192:J201)</f>
        <v>0</v>
      </c>
      <c r="K203" s="184"/>
      <c r="L203" s="184"/>
      <c r="M203" s="184"/>
      <c r="N203" s="184"/>
      <c r="O203" s="184"/>
      <c r="P203" s="184"/>
      <c r="Q203" s="184"/>
      <c r="R203" s="184"/>
      <c r="S203" s="185"/>
      <c r="T203" s="187"/>
      <c r="U203" s="185"/>
      <c r="V203" s="182"/>
      <c r="W203" s="182"/>
      <c r="X203" s="182"/>
      <c r="Y203" s="187"/>
      <c r="Z203" s="185"/>
      <c r="AA203" s="182"/>
      <c r="AB203" s="182"/>
      <c r="AC203" s="182"/>
      <c r="AD203" s="182"/>
      <c r="AE203" s="186"/>
      <c r="AF203" s="186"/>
      <c r="AG203" s="186"/>
      <c r="AH203" s="184"/>
      <c r="AI203" s="184"/>
      <c r="AJ203" s="186"/>
      <c r="AK203" s="186"/>
      <c r="AL203" s="186"/>
      <c r="AM203" s="184"/>
      <c r="AN203" s="184"/>
      <c r="AO203" s="182">
        <f>SUM(AO202,AO188)</f>
        <v>1</v>
      </c>
      <c r="AP203" s="184">
        <f>SUM(AP202,AP188)</f>
        <v>49</v>
      </c>
      <c r="AQ203" s="182"/>
      <c r="AR203" s="187"/>
      <c r="AS203" s="182"/>
      <c r="AT203" s="182"/>
      <c r="AU203" s="182"/>
      <c r="AV203" s="182"/>
      <c r="AW203" s="182"/>
      <c r="AX203" s="182"/>
      <c r="AY203" s="182"/>
      <c r="AZ203" s="188">
        <f>SUM(AZ202,AZ188)</f>
        <v>23</v>
      </c>
      <c r="BA203" s="188">
        <f>SUM(BA202,BA188)</f>
        <v>207</v>
      </c>
      <c r="BB203" s="188">
        <f>SUM(BB202,BB188)</f>
        <v>3</v>
      </c>
      <c r="BC203" s="910">
        <f>IF(COUNT(BC192:BC201,BC183:BC187)=0,"-",AVERAGE(BC192:BC201,BC183:BC187))</f>
        <v>1.1499999999999999</v>
      </c>
      <c r="BD203" s="188">
        <f>+BD189</f>
        <v>27</v>
      </c>
      <c r="BE203" s="189"/>
      <c r="BF203" s="189"/>
      <c r="BG203" s="190"/>
      <c r="BH203" s="900"/>
      <c r="BI203" s="900"/>
      <c r="BJ203" s="900"/>
      <c r="BK203" s="900"/>
      <c r="BL203" s="900"/>
      <c r="BM203" s="900"/>
      <c r="BN203" s="900"/>
      <c r="BO203" s="900"/>
      <c r="BP203" s="308"/>
      <c r="BQ203" s="237"/>
      <c r="BR203" s="873"/>
      <c r="BS203" s="875"/>
      <c r="BT203" s="875"/>
      <c r="BU203" s="875"/>
      <c r="BV203" s="474">
        <f>SUMIF(BV183:BV201,"",BU183:BU201)</f>
        <v>0</v>
      </c>
      <c r="BW203" s="192"/>
      <c r="BX203" s="193"/>
      <c r="BY203" s="193"/>
      <c r="BZ203" s="360"/>
      <c r="CA203" s="230"/>
      <c r="CB203" s="197">
        <f>SUM(CB192:CB201)</f>
        <v>0</v>
      </c>
      <c r="CC203" s="197">
        <f>SUMIF(CC192:CC201,"=0",CD192:CD201)</f>
        <v>0</v>
      </c>
      <c r="CD203" s="198">
        <f>SUMIF(CC192:CC201,"&lt;&gt;0",CD192:CD201)</f>
        <v>0</v>
      </c>
      <c r="CE203" s="234"/>
      <c r="CF203" s="197"/>
      <c r="CG203" s="197"/>
      <c r="CH203" s="198"/>
      <c r="CI203" s="744"/>
      <c r="CJ203" s="715"/>
    </row>
    <row r="204" spans="1:89" ht="27.75" hidden="1" customHeight="1" outlineLevel="1" collapsed="1">
      <c r="A204" s="2144" t="s">
        <v>128</v>
      </c>
      <c r="B204" s="2144"/>
      <c r="C204" s="2144"/>
      <c r="D204" s="2144"/>
      <c r="E204" s="2144"/>
      <c r="F204" s="21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3"/>
      <c r="AE204" s="43"/>
      <c r="AF204" s="44"/>
      <c r="AG204" s="44"/>
      <c r="AH204" s="44"/>
      <c r="AI204" s="44"/>
      <c r="AJ204" s="44"/>
      <c r="AK204" s="44"/>
      <c r="AL204" s="44"/>
      <c r="AM204" s="44"/>
      <c r="AN204" s="44"/>
      <c r="AO204" s="44"/>
      <c r="AP204" s="362"/>
      <c r="AQ204" s="44"/>
      <c r="AR204" s="44"/>
      <c r="AS204" s="44"/>
      <c r="AT204" s="44"/>
      <c r="AU204" s="44"/>
      <c r="AV204" s="44"/>
      <c r="AW204" s="44"/>
      <c r="AX204" s="44"/>
      <c r="AY204" s="44"/>
      <c r="AZ204" s="44"/>
      <c r="BA204" s="44"/>
      <c r="BB204" s="44"/>
      <c r="BC204" s="362"/>
      <c r="BD204" s="45"/>
      <c r="BE204" s="45"/>
      <c r="BF204" s="46"/>
      <c r="BG204" s="364"/>
      <c r="BH204" s="46"/>
      <c r="BI204" s="46"/>
      <c r="BJ204" s="46"/>
      <c r="BK204" s="46"/>
      <c r="BL204" s="46"/>
      <c r="BM204" s="46"/>
      <c r="BN204" s="46"/>
      <c r="BO204" s="46"/>
      <c r="BP204" s="478"/>
      <c r="BQ204" s="47"/>
      <c r="BR204" s="366"/>
      <c r="BS204" s="367"/>
      <c r="BT204" s="367"/>
      <c r="BU204" s="367"/>
      <c r="BV204" s="608"/>
      <c r="BW204" s="609"/>
      <c r="BX204" s="610"/>
      <c r="BY204" s="608"/>
      <c r="BZ204" s="52"/>
      <c r="CA204" s="53"/>
      <c r="CB204" s="53"/>
      <c r="CC204" s="53"/>
      <c r="CD204" s="206"/>
      <c r="CE204" s="53"/>
      <c r="CF204" s="53"/>
      <c r="CG204" s="53"/>
      <c r="CH204" s="53"/>
      <c r="CI204" s="52"/>
      <c r="CJ204" s="911"/>
    </row>
    <row r="205" spans="1:89" ht="32.25" hidden="1" customHeight="1" outlineLevel="1">
      <c r="A205" s="59"/>
      <c r="B205" s="247"/>
      <c r="C205" s="247"/>
      <c r="D205" s="61"/>
      <c r="E205" s="62"/>
      <c r="F205" s="247"/>
      <c r="G205" s="80">
        <f>M205-T205</f>
        <v>0</v>
      </c>
      <c r="H205" s="80">
        <f>M205-T205</f>
        <v>0</v>
      </c>
      <c r="I205" s="80">
        <f>IF($B$2&gt;=A205,($B$2-A205+1)*H205,"-")</f>
        <v>0</v>
      </c>
      <c r="J205" s="80">
        <f>($A$2-A205+1)*H205</f>
        <v>0</v>
      </c>
      <c r="K205" s="271"/>
      <c r="L205" s="80">
        <f ca="1">IF((AE205)&lt;$L$2-DAY($L$2)+1,H205,H205+T205)</f>
        <v>0</v>
      </c>
      <c r="M205" s="252"/>
      <c r="N205" s="252"/>
      <c r="O205" s="69"/>
      <c r="P205" s="71"/>
      <c r="Q205" s="71"/>
      <c r="R205" s="71"/>
      <c r="S205" s="66"/>
      <c r="T205" s="63"/>
      <c r="U205" s="71"/>
      <c r="V205" s="632"/>
      <c r="W205" s="71"/>
      <c r="X205" s="537"/>
      <c r="Y205" s="63"/>
      <c r="Z205" s="71"/>
      <c r="AA205" s="537"/>
      <c r="AB205" s="71"/>
      <c r="AC205" s="72"/>
      <c r="AD205" s="274" t="s">
        <v>129</v>
      </c>
      <c r="AE205" s="73"/>
      <c r="AF205" s="135"/>
      <c r="AG205" s="454"/>
      <c r="AH205" s="74">
        <f t="shared" ref="AH205:AH213" si="15">IF(AE205="переход","",AF205-AE205)</f>
        <v>0</v>
      </c>
      <c r="AI205" s="75" t="str">
        <f t="shared" ref="AI205:AI213" si="16">IF(T205="","",AH205*T205)</f>
        <v/>
      </c>
      <c r="AJ205" s="73"/>
      <c r="AK205" s="77"/>
      <c r="AL205" s="288"/>
      <c r="AM205" s="74"/>
      <c r="AN205" s="75"/>
      <c r="AO205" s="78"/>
      <c r="AP205" s="74"/>
      <c r="AQ205" s="256"/>
      <c r="AR205" s="257"/>
      <c r="AS205" s="112"/>
      <c r="AT205" s="247"/>
      <c r="AU205" s="247"/>
      <c r="AV205" s="247"/>
      <c r="AW205" s="68"/>
      <c r="AX205" s="258"/>
      <c r="AY205" s="83" t="s">
        <v>84</v>
      </c>
      <c r="AZ205" s="311" t="str">
        <f>IF(AP205&lt;1,"-",AP205-Y205)</f>
        <v>-</v>
      </c>
      <c r="BA205" s="64" t="str">
        <f>IF(AZ205="-","-",($B$2-AO205+1)*AZ205)</f>
        <v>-</v>
      </c>
      <c r="BB205" s="85" t="str">
        <f>IF(AZ205="-","-",AZ205-H205)</f>
        <v>-</v>
      </c>
      <c r="BC205" s="86" t="str">
        <f>IF(AZ205="-","-",AZ205/H205)</f>
        <v>-</v>
      </c>
      <c r="BD205" s="139">
        <f>IF(AP205&lt;1,IF($B$2&gt;=A205,($A$2-A205+1)*-1*H205,"-"),AZ205*($A$2-AO205+1)-H205*($A$2-A205+1))</f>
        <v>0</v>
      </c>
      <c r="BE205" s="455"/>
      <c r="BF205" s="375"/>
      <c r="BG205" s="517"/>
      <c r="BH205" s="91"/>
      <c r="BI205" s="91"/>
      <c r="BJ205" s="93"/>
      <c r="BK205" s="91"/>
      <c r="BL205" s="93"/>
      <c r="BM205" s="93"/>
      <c r="BN205" s="91" t="str">
        <f>IF(BH205=0,"-",BH205-AP205)</f>
        <v>-</v>
      </c>
      <c r="BO205" s="91" t="str">
        <f>IF(BI205=0,"-",BI205-AQ205)</f>
        <v>-</v>
      </c>
      <c r="BP205" s="94" t="str">
        <f>IF(BN205="-","-",AZ205+BN205)</f>
        <v>-</v>
      </c>
      <c r="BQ205" s="95" t="str">
        <f>IF(BN205="-","-",(($B$2-AO205+1)*(AZ205+BN205)))</f>
        <v>-</v>
      </c>
      <c r="BR205" s="315"/>
      <c r="BS205" s="214"/>
      <c r="BT205" s="131"/>
      <c r="BU205" s="215"/>
      <c r="BV205" s="99"/>
      <c r="BW205" s="215"/>
      <c r="BX205" s="214"/>
      <c r="BY205" s="621"/>
      <c r="BZ205" s="101"/>
      <c r="CA205" s="102"/>
      <c r="CB205" s="103" t="e">
        <f t="shared" ref="CB205:CB211" si="17">($D$1-AL205)*AZ205</f>
        <v>#VALUE!</v>
      </c>
      <c r="CC205" s="104">
        <f t="shared" ref="CC205:CC210" si="18">IF(AO205&gt;0,"-",(AG205-CA205))</f>
        <v>0</v>
      </c>
      <c r="CD205" s="105">
        <f t="shared" ref="CD205:CD210" si="19">IF(AO205&gt;0,"-",(($D$1-CA205)*H205))</f>
        <v>0</v>
      </c>
      <c r="CE205" s="101"/>
      <c r="CF205" s="102"/>
      <c r="CG205" s="103"/>
      <c r="CH205" s="518"/>
      <c r="CI205" s="912" t="s">
        <v>130</v>
      </c>
      <c r="CJ205" s="715"/>
    </row>
    <row r="206" spans="1:89" ht="12.75" hidden="1" customHeight="1" outlineLevel="1">
      <c r="A206" s="59"/>
      <c r="B206" s="505"/>
      <c r="C206" s="505"/>
      <c r="D206" s="612"/>
      <c r="E206" s="248"/>
      <c r="F206" s="270"/>
      <c r="G206" s="80"/>
      <c r="H206" s="80"/>
      <c r="I206" s="80"/>
      <c r="J206" s="80"/>
      <c r="K206" s="66"/>
      <c r="L206" s="80"/>
      <c r="M206" s="252"/>
      <c r="N206" s="252"/>
      <c r="O206" s="69"/>
      <c r="P206" s="71"/>
      <c r="Q206" s="71"/>
      <c r="R206" s="71"/>
      <c r="S206" s="273"/>
      <c r="T206" s="63"/>
      <c r="U206" s="71"/>
      <c r="V206" s="537"/>
      <c r="W206" s="71"/>
      <c r="X206" s="537"/>
      <c r="Y206" s="63"/>
      <c r="Z206" s="71"/>
      <c r="AA206" s="817"/>
      <c r="AB206" s="71"/>
      <c r="AC206" s="72"/>
      <c r="AD206" s="274" t="s">
        <v>129</v>
      </c>
      <c r="AE206" s="73"/>
      <c r="AF206" s="135"/>
      <c r="AG206" s="135"/>
      <c r="AH206" s="74">
        <f t="shared" si="15"/>
        <v>0</v>
      </c>
      <c r="AI206" s="75" t="str">
        <f t="shared" si="16"/>
        <v/>
      </c>
      <c r="AJ206" s="73"/>
      <c r="AK206" s="77"/>
      <c r="AL206" s="77">
        <f>AK206</f>
        <v>0</v>
      </c>
      <c r="AM206" s="74"/>
      <c r="AN206" s="75"/>
      <c r="AO206" s="78"/>
      <c r="AP206" s="74"/>
      <c r="AQ206" s="256"/>
      <c r="AR206" s="257"/>
      <c r="AS206" s="112"/>
      <c r="AT206" s="247"/>
      <c r="AU206" s="247"/>
      <c r="AV206" s="247"/>
      <c r="AW206" s="68"/>
      <c r="AX206" s="258"/>
      <c r="AY206" s="514" t="s">
        <v>84</v>
      </c>
      <c r="AZ206" s="311" t="str">
        <f t="shared" ref="AZ206:AZ213" si="20">IF(AP206&lt;1,"-",AP206-Y206)</f>
        <v>-</v>
      </c>
      <c r="BA206" s="64" t="str">
        <f>IF(AZ206="-","-",($B$2-AO206+1)*AZ206)</f>
        <v>-</v>
      </c>
      <c r="BB206" s="85" t="str">
        <f t="shared" ref="BB206:BB213" si="21">IF(AZ206="-","-",AZ206-H206)</f>
        <v>-</v>
      </c>
      <c r="BC206" s="86" t="str">
        <f>IF(AZ206="-","-",AZ206/H206)</f>
        <v>-</v>
      </c>
      <c r="BD206" s="139">
        <f t="shared" ref="BD206:BD213" si="22">IF(AP206&lt;1,IF($B$2&gt;=A206,($A$2-A206+1)*-1*H206,"-"),AZ206*($A$2-AO206+1)-H206*($A$2-A206+1))</f>
        <v>0</v>
      </c>
      <c r="BE206" s="455"/>
      <c r="BF206" s="375"/>
      <c r="BG206" s="517"/>
      <c r="BH206" s="91"/>
      <c r="BI206" s="91"/>
      <c r="BJ206" s="93"/>
      <c r="BK206" s="91"/>
      <c r="BL206" s="93"/>
      <c r="BM206" s="93"/>
      <c r="BN206" s="91"/>
      <c r="BO206" s="91"/>
      <c r="BP206" s="94"/>
      <c r="BQ206" s="95"/>
      <c r="BR206" s="536"/>
      <c r="BS206" s="214"/>
      <c r="BT206" s="131"/>
      <c r="BU206" s="215"/>
      <c r="BV206" s="99"/>
      <c r="BW206" s="215"/>
      <c r="BX206" s="214"/>
      <c r="BY206" s="214"/>
      <c r="BZ206" s="101"/>
      <c r="CA206" s="102"/>
      <c r="CB206" s="103" t="e">
        <f t="shared" si="17"/>
        <v>#VALUE!</v>
      </c>
      <c r="CC206" s="104">
        <f t="shared" si="18"/>
        <v>0</v>
      </c>
      <c r="CD206" s="105">
        <f t="shared" si="19"/>
        <v>0</v>
      </c>
      <c r="CE206" s="101"/>
      <c r="CF206" s="102"/>
      <c r="CG206" s="103"/>
      <c r="CH206" s="518"/>
      <c r="CI206" s="912" t="s">
        <v>130</v>
      </c>
      <c r="CJ206" s="715"/>
      <c r="CK206" s="111"/>
    </row>
    <row r="207" spans="1:89" ht="12.75" hidden="1" customHeight="1" outlineLevel="1">
      <c r="A207" s="59"/>
      <c r="B207" s="505"/>
      <c r="C207" s="505"/>
      <c r="D207" s="248"/>
      <c r="E207" s="248"/>
      <c r="F207" s="270"/>
      <c r="G207" s="80">
        <f>M207-T207</f>
        <v>0</v>
      </c>
      <c r="H207" s="80">
        <f>M207-T207</f>
        <v>0</v>
      </c>
      <c r="I207" s="80">
        <f>IF($B$2&gt;=A207,($B$2-A207+1)*H207,"-")</f>
        <v>0</v>
      </c>
      <c r="J207" s="80">
        <f>($A$2-A207+1)*H207</f>
        <v>0</v>
      </c>
      <c r="K207" s="66"/>
      <c r="L207" s="80">
        <f ca="1">IF((AE207)&lt;$L$2-DAY($L$2)+1,H207,H207+T207)</f>
        <v>0</v>
      </c>
      <c r="M207" s="252"/>
      <c r="N207" s="252"/>
      <c r="O207" s="85"/>
      <c r="P207" s="71"/>
      <c r="Q207" s="71"/>
      <c r="R207" s="71"/>
      <c r="S207" s="66"/>
      <c r="T207" s="63"/>
      <c r="U207" s="71"/>
      <c r="V207" s="913"/>
      <c r="W207" s="71"/>
      <c r="X207" s="537"/>
      <c r="Y207" s="63"/>
      <c r="Z207" s="71"/>
      <c r="AA207" s="537"/>
      <c r="AB207" s="71"/>
      <c r="AC207" s="72"/>
      <c r="AD207" s="274" t="s">
        <v>129</v>
      </c>
      <c r="AE207" s="73"/>
      <c r="AF207" s="135"/>
      <c r="AG207" s="135"/>
      <c r="AH207" s="74">
        <f t="shared" si="15"/>
        <v>0</v>
      </c>
      <c r="AI207" s="75" t="str">
        <f t="shared" si="16"/>
        <v/>
      </c>
      <c r="AJ207" s="319"/>
      <c r="AK207" s="77"/>
      <c r="AL207" s="77"/>
      <c r="AM207" s="74"/>
      <c r="AN207" s="75"/>
      <c r="AO207" s="78"/>
      <c r="AP207" s="74"/>
      <c r="AQ207" s="256"/>
      <c r="AR207" s="257"/>
      <c r="AS207" s="112"/>
      <c r="AT207" s="247"/>
      <c r="AU207" s="247"/>
      <c r="AV207" s="247"/>
      <c r="AW207" s="317"/>
      <c r="AX207" s="258"/>
      <c r="AY207" s="514" t="s">
        <v>84</v>
      </c>
      <c r="AZ207" s="311" t="str">
        <f t="shared" si="20"/>
        <v>-</v>
      </c>
      <c r="BA207" s="64" t="str">
        <f t="shared" ref="BA207:BA213" si="23">IF(AZ207="-","-",($B$2-AO207+1)*AZ207)</f>
        <v>-</v>
      </c>
      <c r="BB207" s="85" t="str">
        <f t="shared" si="21"/>
        <v>-</v>
      </c>
      <c r="BC207" s="86" t="str">
        <f>IF(AZ207="-","-",AZ207/H207)</f>
        <v>-</v>
      </c>
      <c r="BD207" s="139">
        <f t="shared" si="22"/>
        <v>0</v>
      </c>
      <c r="BE207" s="455"/>
      <c r="BF207" s="375"/>
      <c r="BG207" s="517"/>
      <c r="BH207" s="91"/>
      <c r="BI207" s="91"/>
      <c r="BJ207" s="93"/>
      <c r="BK207" s="91"/>
      <c r="BL207" s="93"/>
      <c r="BM207" s="93"/>
      <c r="BN207" s="91"/>
      <c r="BO207" s="91"/>
      <c r="BP207" s="94"/>
      <c r="BQ207" s="95"/>
      <c r="BR207" s="536"/>
      <c r="BS207" s="214"/>
      <c r="BT207" s="131"/>
      <c r="BU207" s="215"/>
      <c r="BV207" s="99"/>
      <c r="BW207" s="215"/>
      <c r="BX207" s="214"/>
      <c r="BY207" s="214"/>
      <c r="BZ207" s="101" t="e">
        <f>NA()</f>
        <v>#N/A</v>
      </c>
      <c r="CA207" s="102" t="e">
        <f>NA()</f>
        <v>#N/A</v>
      </c>
      <c r="CB207" s="103" t="e">
        <f t="shared" si="17"/>
        <v>#VALUE!</v>
      </c>
      <c r="CC207" s="104" t="e">
        <f t="shared" si="18"/>
        <v>#N/A</v>
      </c>
      <c r="CD207" s="105" t="e">
        <f t="shared" si="19"/>
        <v>#N/A</v>
      </c>
      <c r="CE207" s="101"/>
      <c r="CF207" s="102"/>
      <c r="CG207" s="103"/>
      <c r="CH207" s="518"/>
      <c r="CI207" s="912" t="s">
        <v>130</v>
      </c>
      <c r="CJ207" s="715"/>
      <c r="CK207" s="111"/>
    </row>
    <row r="208" spans="1:89" ht="12.75" hidden="1" customHeight="1" outlineLevel="1">
      <c r="A208" s="59"/>
      <c r="B208" s="505"/>
      <c r="C208" s="505"/>
      <c r="D208" s="248"/>
      <c r="E208" s="62"/>
      <c r="F208" s="270"/>
      <c r="G208" s="80">
        <f>M208-T208</f>
        <v>0</v>
      </c>
      <c r="H208" s="80">
        <f>M208-T208</f>
        <v>0</v>
      </c>
      <c r="I208" s="80">
        <f>IF($B$2&gt;=A208,($B$2-A208+1)*H208,"-")</f>
        <v>0</v>
      </c>
      <c r="J208" s="80">
        <f>($A$2-A208+1)*H208</f>
        <v>0</v>
      </c>
      <c r="K208" s="66"/>
      <c r="L208" s="80">
        <f ca="1">IF((AE208)&lt;$L$2-DAY($L$2)+1,H208,H208+T208)</f>
        <v>0</v>
      </c>
      <c r="M208" s="252"/>
      <c r="N208" s="252"/>
      <c r="O208" s="71"/>
      <c r="P208" s="71"/>
      <c r="Q208" s="71"/>
      <c r="R208" s="71"/>
      <c r="S208" s="66"/>
      <c r="T208" s="63"/>
      <c r="U208" s="71"/>
      <c r="V208" s="537"/>
      <c r="W208" s="71"/>
      <c r="X208" s="537"/>
      <c r="Y208" s="63"/>
      <c r="Z208" s="71"/>
      <c r="AA208" s="537"/>
      <c r="AB208" s="71"/>
      <c r="AC208" s="72"/>
      <c r="AD208" s="274" t="s">
        <v>129</v>
      </c>
      <c r="AE208" s="73"/>
      <c r="AF208" s="135"/>
      <c r="AG208" s="135"/>
      <c r="AH208" s="74">
        <f t="shared" si="15"/>
        <v>0</v>
      </c>
      <c r="AI208" s="75" t="str">
        <f t="shared" si="16"/>
        <v/>
      </c>
      <c r="AJ208" s="319"/>
      <c r="AK208" s="77"/>
      <c r="AL208" s="77"/>
      <c r="AM208" s="74"/>
      <c r="AN208" s="75"/>
      <c r="AO208" s="78"/>
      <c r="AP208" s="74"/>
      <c r="AQ208" s="256"/>
      <c r="AR208" s="257"/>
      <c r="AS208" s="112"/>
      <c r="AT208" s="247"/>
      <c r="AU208" s="247"/>
      <c r="AV208" s="247"/>
      <c r="AW208" s="317"/>
      <c r="AX208" s="258"/>
      <c r="AY208" s="514" t="s">
        <v>84</v>
      </c>
      <c r="AZ208" s="311" t="str">
        <f t="shared" si="20"/>
        <v>-</v>
      </c>
      <c r="BA208" s="64" t="str">
        <f t="shared" si="23"/>
        <v>-</v>
      </c>
      <c r="BB208" s="85" t="str">
        <f t="shared" si="21"/>
        <v>-</v>
      </c>
      <c r="BC208" s="86" t="str">
        <f>IF(AZ208="-","-",AZ208/H208)</f>
        <v>-</v>
      </c>
      <c r="BD208" s="139">
        <f t="shared" si="22"/>
        <v>0</v>
      </c>
      <c r="BE208" s="455"/>
      <c r="BF208" s="375"/>
      <c r="BG208" s="517"/>
      <c r="BH208" s="91"/>
      <c r="BI208" s="91"/>
      <c r="BJ208" s="93"/>
      <c r="BK208" s="91"/>
      <c r="BL208" s="93"/>
      <c r="BM208" s="93"/>
      <c r="BN208" s="91"/>
      <c r="BO208" s="91"/>
      <c r="BP208" s="94"/>
      <c r="BQ208" s="95"/>
      <c r="BR208" s="536"/>
      <c r="BS208" s="214"/>
      <c r="BT208" s="131"/>
      <c r="BU208" s="215"/>
      <c r="BV208" s="99"/>
      <c r="BW208" s="215"/>
      <c r="BX208" s="214"/>
      <c r="BY208" s="214"/>
      <c r="BZ208" s="101" t="e">
        <f>NA()</f>
        <v>#N/A</v>
      </c>
      <c r="CA208" s="102" t="e">
        <f>NA()</f>
        <v>#N/A</v>
      </c>
      <c r="CB208" s="103" t="e">
        <f t="shared" si="17"/>
        <v>#VALUE!</v>
      </c>
      <c r="CC208" s="104" t="e">
        <f t="shared" si="18"/>
        <v>#N/A</v>
      </c>
      <c r="CD208" s="105" t="e">
        <f t="shared" si="19"/>
        <v>#N/A</v>
      </c>
      <c r="CE208" s="101"/>
      <c r="CF208" s="102"/>
      <c r="CG208" s="103"/>
      <c r="CH208" s="518"/>
      <c r="CI208" s="912" t="s">
        <v>130</v>
      </c>
      <c r="CJ208" s="715"/>
      <c r="CK208" s="111"/>
    </row>
    <row r="209" spans="1:89" ht="12.75" hidden="1" customHeight="1" outlineLevel="1">
      <c r="A209" s="59"/>
      <c r="B209" s="505"/>
      <c r="C209" s="505"/>
      <c r="D209" s="248"/>
      <c r="E209" s="62"/>
      <c r="F209" s="270"/>
      <c r="G209" s="80">
        <f>M209-T209</f>
        <v>0</v>
      </c>
      <c r="H209" s="80">
        <f>M209-T209</f>
        <v>0</v>
      </c>
      <c r="I209" s="80">
        <f>IF($B$2&gt;=A209,($B$2-A209+1)*H209,"-")</f>
        <v>0</v>
      </c>
      <c r="J209" s="80">
        <f>($A$2-A209+1)*H209</f>
        <v>0</v>
      </c>
      <c r="K209" s="66"/>
      <c r="L209" s="80">
        <f ca="1">IF((AE209)&lt;$L$2-DAY($L$2)+1,H209,H209+T209)</f>
        <v>0</v>
      </c>
      <c r="M209" s="252"/>
      <c r="N209" s="252"/>
      <c r="O209" s="71"/>
      <c r="P209" s="71"/>
      <c r="Q209" s="71"/>
      <c r="R209" s="71"/>
      <c r="S209" s="273"/>
      <c r="T209" s="63"/>
      <c r="U209" s="71"/>
      <c r="V209" s="71"/>
      <c r="W209" s="71"/>
      <c r="X209" s="71"/>
      <c r="Y209" s="63"/>
      <c r="Z209" s="71"/>
      <c r="AA209" s="71"/>
      <c r="AB209" s="71"/>
      <c r="AC209" s="72"/>
      <c r="AD209" s="274" t="s">
        <v>129</v>
      </c>
      <c r="AE209" s="73"/>
      <c r="AF209" s="135"/>
      <c r="AG209" s="135"/>
      <c r="AH209" s="74">
        <f t="shared" si="15"/>
        <v>0</v>
      </c>
      <c r="AI209" s="75" t="str">
        <f t="shared" si="16"/>
        <v/>
      </c>
      <c r="AJ209" s="276"/>
      <c r="AK209" s="77"/>
      <c r="AL209" s="77"/>
      <c r="AM209" s="74"/>
      <c r="AN209" s="75"/>
      <c r="AO209" s="78"/>
      <c r="AP209" s="74"/>
      <c r="AQ209" s="256"/>
      <c r="AR209" s="257"/>
      <c r="AS209" s="112"/>
      <c r="AT209" s="247"/>
      <c r="AU209" s="247"/>
      <c r="AV209" s="247"/>
      <c r="AW209" s="317"/>
      <c r="AX209" s="258"/>
      <c r="AY209" s="514" t="s">
        <v>84</v>
      </c>
      <c r="AZ209" s="311" t="str">
        <f t="shared" si="20"/>
        <v>-</v>
      </c>
      <c r="BA209" s="64" t="str">
        <f t="shared" si="23"/>
        <v>-</v>
      </c>
      <c r="BB209" s="85" t="str">
        <f t="shared" si="21"/>
        <v>-</v>
      </c>
      <c r="BC209" s="86" t="str">
        <f>IF(AZ209="-","-",AZ209/H209)</f>
        <v>-</v>
      </c>
      <c r="BD209" s="139">
        <f t="shared" si="22"/>
        <v>0</v>
      </c>
      <c r="BE209" s="455"/>
      <c r="BF209" s="375"/>
      <c r="BG209" s="517"/>
      <c r="BH209" s="91"/>
      <c r="BI209" s="91"/>
      <c r="BJ209" s="93"/>
      <c r="BK209" s="91"/>
      <c r="BL209" s="93"/>
      <c r="BM209" s="93"/>
      <c r="BN209" s="91"/>
      <c r="BO209" s="91"/>
      <c r="BP209" s="94"/>
      <c r="BQ209" s="95"/>
      <c r="BR209" s="536"/>
      <c r="BS209" s="214"/>
      <c r="BT209" s="131"/>
      <c r="BU209" s="215"/>
      <c r="BV209" s="99"/>
      <c r="BW209" s="215"/>
      <c r="BX209" s="214"/>
      <c r="BY209" s="214"/>
      <c r="BZ209" s="101" t="e">
        <f>NA()</f>
        <v>#N/A</v>
      </c>
      <c r="CA209" s="102" t="e">
        <f>NA()</f>
        <v>#N/A</v>
      </c>
      <c r="CB209" s="103" t="e">
        <f t="shared" si="17"/>
        <v>#VALUE!</v>
      </c>
      <c r="CC209" s="104" t="e">
        <f t="shared" si="18"/>
        <v>#N/A</v>
      </c>
      <c r="CD209" s="105" t="e">
        <f t="shared" si="19"/>
        <v>#N/A</v>
      </c>
      <c r="CE209" s="101"/>
      <c r="CF209" s="102"/>
      <c r="CG209" s="103"/>
      <c r="CH209" s="518"/>
      <c r="CI209" s="912" t="s">
        <v>130</v>
      </c>
      <c r="CJ209" s="715"/>
      <c r="CK209" s="111"/>
    </row>
    <row r="210" spans="1:89" ht="12.75" hidden="1" customHeight="1" outlineLevel="1">
      <c r="A210" s="310"/>
      <c r="B210" s="505"/>
      <c r="C210" s="505"/>
      <c r="D210" s="248"/>
      <c r="E210" s="62"/>
      <c r="F210" s="270"/>
      <c r="G210" s="65"/>
      <c r="H210" s="80"/>
      <c r="I210" s="80"/>
      <c r="J210" s="80"/>
      <c r="K210" s="66"/>
      <c r="L210" s="670"/>
      <c r="M210" s="252"/>
      <c r="N210" s="519"/>
      <c r="O210" s="520"/>
      <c r="P210" s="520"/>
      <c r="Q210" s="520"/>
      <c r="R210" s="520"/>
      <c r="S210" s="249"/>
      <c r="T210" s="63"/>
      <c r="U210" s="70"/>
      <c r="V210" s="508"/>
      <c r="W210" s="71"/>
      <c r="X210" s="508"/>
      <c r="Y210" s="63"/>
      <c r="Z210" s="70"/>
      <c r="AA210" s="508"/>
      <c r="AB210" s="71"/>
      <c r="AC210" s="72"/>
      <c r="AD210" s="274"/>
      <c r="AE210" s="73"/>
      <c r="AF210" s="135"/>
      <c r="AG210" s="135"/>
      <c r="AH210" s="74">
        <f t="shared" si="15"/>
        <v>0</v>
      </c>
      <c r="AI210" s="75" t="str">
        <f t="shared" si="16"/>
        <v/>
      </c>
      <c r="AJ210" s="276"/>
      <c r="AK210" s="77"/>
      <c r="AL210" s="77"/>
      <c r="AM210" s="74"/>
      <c r="AN210" s="75"/>
      <c r="AO210" s="78"/>
      <c r="AP210" s="74"/>
      <c r="AQ210" s="256"/>
      <c r="AR210" s="74"/>
      <c r="AS210" s="112"/>
      <c r="AT210" s="247"/>
      <c r="AU210" s="247"/>
      <c r="AV210" s="247"/>
      <c r="AW210" s="317"/>
      <c r="AX210" s="258"/>
      <c r="AY210" s="514" t="s">
        <v>84</v>
      </c>
      <c r="AZ210" s="311" t="str">
        <f t="shared" si="20"/>
        <v>-</v>
      </c>
      <c r="BA210" s="64" t="str">
        <f t="shared" si="23"/>
        <v>-</v>
      </c>
      <c r="BB210" s="64" t="str">
        <f t="shared" si="21"/>
        <v>-</v>
      </c>
      <c r="BC210" s="312"/>
      <c r="BD210" s="516">
        <f t="shared" si="22"/>
        <v>0</v>
      </c>
      <c r="BE210" s="455"/>
      <c r="BF210" s="375"/>
      <c r="BG210" s="517"/>
      <c r="BH210" s="91"/>
      <c r="BI210" s="91"/>
      <c r="BJ210" s="93"/>
      <c r="BK210" s="91"/>
      <c r="BL210" s="93"/>
      <c r="BM210" s="93"/>
      <c r="BN210" s="91"/>
      <c r="BO210" s="91"/>
      <c r="BP210" s="94"/>
      <c r="BQ210" s="95"/>
      <c r="BR210" s="536"/>
      <c r="BS210" s="214"/>
      <c r="BT210" s="131"/>
      <c r="BU210" s="215"/>
      <c r="BV210" s="99"/>
      <c r="BW210" s="284"/>
      <c r="BX210" s="214"/>
      <c r="BY210" s="214"/>
      <c r="BZ210" s="101" t="e">
        <f>NA()</f>
        <v>#N/A</v>
      </c>
      <c r="CA210" s="102" t="e">
        <f>NA()</f>
        <v>#N/A</v>
      </c>
      <c r="CB210" s="103" t="e">
        <f t="shared" si="17"/>
        <v>#VALUE!</v>
      </c>
      <c r="CC210" s="104" t="e">
        <f t="shared" si="18"/>
        <v>#N/A</v>
      </c>
      <c r="CD210" s="105" t="e">
        <f t="shared" si="19"/>
        <v>#N/A</v>
      </c>
      <c r="CE210" s="101"/>
      <c r="CF210" s="102"/>
      <c r="CG210" s="103"/>
      <c r="CH210" s="518"/>
      <c r="CI210" s="912" t="s">
        <v>130</v>
      </c>
      <c r="CJ210" s="715"/>
      <c r="CK210" s="111"/>
    </row>
    <row r="211" spans="1:89" ht="12.75" hidden="1" customHeight="1" outlineLevel="1">
      <c r="A211" s="310"/>
      <c r="B211" s="505"/>
      <c r="C211" s="505"/>
      <c r="D211" s="248"/>
      <c r="E211" s="270"/>
      <c r="F211" s="270"/>
      <c r="G211" s="65"/>
      <c r="H211" s="80"/>
      <c r="I211" s="80"/>
      <c r="J211" s="80"/>
      <c r="K211" s="66"/>
      <c r="L211" s="670"/>
      <c r="M211" s="63"/>
      <c r="N211" s="71"/>
      <c r="O211" s="71"/>
      <c r="P211" s="71"/>
      <c r="Q211" s="71"/>
      <c r="R211" s="71"/>
      <c r="S211" s="273"/>
      <c r="T211" s="63"/>
      <c r="U211" s="71"/>
      <c r="V211" s="287"/>
      <c r="W211" s="71"/>
      <c r="X211" s="71"/>
      <c r="Y211" s="63"/>
      <c r="Z211" s="71"/>
      <c r="AA211" s="287"/>
      <c r="AB211" s="71"/>
      <c r="AC211" s="72"/>
      <c r="AD211" s="274"/>
      <c r="AE211" s="135"/>
      <c r="AF211" s="135"/>
      <c r="AG211" s="135"/>
      <c r="AH211" s="74">
        <f t="shared" si="15"/>
        <v>0</v>
      </c>
      <c r="AI211" s="75" t="str">
        <f t="shared" si="16"/>
        <v/>
      </c>
      <c r="AJ211" s="276"/>
      <c r="AK211" s="77"/>
      <c r="AL211" s="77"/>
      <c r="AM211" s="74"/>
      <c r="AN211" s="75"/>
      <c r="AO211" s="78"/>
      <c r="AP211" s="74"/>
      <c r="AQ211" s="256"/>
      <c r="AR211" s="74"/>
      <c r="AS211" s="112"/>
      <c r="AT211" s="247"/>
      <c r="AU211" s="247"/>
      <c r="AV211" s="247"/>
      <c r="AW211" s="317"/>
      <c r="AX211" s="258"/>
      <c r="AY211" s="514" t="s">
        <v>84</v>
      </c>
      <c r="AZ211" s="311" t="str">
        <f t="shared" si="20"/>
        <v>-</v>
      </c>
      <c r="BA211" s="64" t="str">
        <f t="shared" si="23"/>
        <v>-</v>
      </c>
      <c r="BB211" s="64" t="str">
        <f t="shared" si="21"/>
        <v>-</v>
      </c>
      <c r="BC211" s="312"/>
      <c r="BD211" s="516">
        <f t="shared" si="22"/>
        <v>0</v>
      </c>
      <c r="BE211" s="455"/>
      <c r="BF211" s="375"/>
      <c r="BG211" s="517"/>
      <c r="BH211" s="91"/>
      <c r="BI211" s="91"/>
      <c r="BJ211" s="93"/>
      <c r="BK211" s="91"/>
      <c r="BL211" s="93"/>
      <c r="BM211" s="93"/>
      <c r="BN211" s="91"/>
      <c r="BO211" s="91"/>
      <c r="BP211" s="94"/>
      <c r="BQ211" s="95"/>
      <c r="BR211" s="536"/>
      <c r="BS211" s="214"/>
      <c r="BT211" s="131"/>
      <c r="BU211" s="215"/>
      <c r="BV211" s="99"/>
      <c r="BW211" s="284"/>
      <c r="BX211" s="214"/>
      <c r="BY211" s="214"/>
      <c r="BZ211" s="101"/>
      <c r="CA211" s="102"/>
      <c r="CB211" s="103" t="e">
        <f t="shared" si="17"/>
        <v>#VALUE!</v>
      </c>
      <c r="CC211" s="104"/>
      <c r="CD211" s="105"/>
      <c r="CE211" s="101"/>
      <c r="CF211" s="102"/>
      <c r="CG211" s="103"/>
      <c r="CH211" s="518"/>
      <c r="CI211" s="912" t="s">
        <v>130</v>
      </c>
      <c r="CJ211" s="715"/>
      <c r="CK211" s="111"/>
    </row>
    <row r="212" spans="1:89" ht="12.75" hidden="1" customHeight="1" outlineLevel="1">
      <c r="A212" s="310"/>
      <c r="B212" s="505"/>
      <c r="C212" s="506"/>
      <c r="D212" s="62"/>
      <c r="E212" s="914"/>
      <c r="F212" s="915"/>
      <c r="G212" s="65"/>
      <c r="H212" s="80"/>
      <c r="I212" s="80"/>
      <c r="J212" s="80"/>
      <c r="K212" s="66"/>
      <c r="L212" s="670"/>
      <c r="M212" s="252"/>
      <c r="N212" s="519"/>
      <c r="O212" s="520"/>
      <c r="P212" s="520"/>
      <c r="Q212" s="520"/>
      <c r="R212" s="520"/>
      <c r="S212" s="249"/>
      <c r="T212" s="64"/>
      <c r="U212" s="70"/>
      <c r="V212" s="508"/>
      <c r="W212" s="71"/>
      <c r="X212" s="508"/>
      <c r="Y212" s="64"/>
      <c r="Z212" s="70"/>
      <c r="AA212" s="508"/>
      <c r="AB212" s="71"/>
      <c r="AC212" s="72"/>
      <c r="AD212" s="274"/>
      <c r="AE212" s="135"/>
      <c r="AF212" s="135"/>
      <c r="AG212" s="135"/>
      <c r="AH212" s="74">
        <f t="shared" si="15"/>
        <v>0</v>
      </c>
      <c r="AI212" s="75" t="str">
        <f t="shared" si="16"/>
        <v/>
      </c>
      <c r="AJ212" s="276"/>
      <c r="AK212" s="77"/>
      <c r="AL212" s="77"/>
      <c r="AM212" s="74"/>
      <c r="AN212" s="75"/>
      <c r="AO212" s="78"/>
      <c r="AP212" s="74"/>
      <c r="AQ212" s="74"/>
      <c r="AR212" s="74"/>
      <c r="AS212" s="66"/>
      <c r="AT212" s="247"/>
      <c r="AU212" s="247"/>
      <c r="AV212" s="247"/>
      <c r="AW212" s="317"/>
      <c r="AX212" s="916"/>
      <c r="AY212" s="448"/>
      <c r="AZ212" s="311" t="str">
        <f t="shared" si="20"/>
        <v>-</v>
      </c>
      <c r="BA212" s="64" t="str">
        <f t="shared" si="23"/>
        <v>-</v>
      </c>
      <c r="BB212" s="64" t="str">
        <f t="shared" si="21"/>
        <v>-</v>
      </c>
      <c r="BC212" s="312"/>
      <c r="BD212" s="516">
        <f t="shared" si="22"/>
        <v>0</v>
      </c>
      <c r="BE212" s="917"/>
      <c r="BF212" s="918"/>
      <c r="BG212" s="918"/>
      <c r="BH212" s="94"/>
      <c r="BI212" s="91"/>
      <c r="BJ212" s="91"/>
      <c r="BK212" s="91"/>
      <c r="BL212" s="91"/>
      <c r="BM212" s="91"/>
      <c r="BN212" s="91"/>
      <c r="BO212" s="94"/>
      <c r="BP212" s="383"/>
      <c r="BQ212" s="919"/>
      <c r="BR212" s="536"/>
      <c r="BS212" s="214"/>
      <c r="BT212" s="131"/>
      <c r="BU212" s="215"/>
      <c r="BV212" s="99"/>
      <c r="BW212" s="385"/>
      <c r="BX212" s="214"/>
      <c r="BY212" s="214"/>
      <c r="BZ212" s="101"/>
      <c r="CA212" s="102"/>
      <c r="CB212" s="103"/>
      <c r="CC212" s="125"/>
      <c r="CD212" s="105"/>
      <c r="CE212" s="106"/>
      <c r="CF212" s="107"/>
      <c r="CG212" s="108"/>
      <c r="CH212" s="377"/>
      <c r="CI212" s="912"/>
      <c r="CJ212" s="715"/>
      <c r="CK212" s="111"/>
    </row>
    <row r="213" spans="1:89" ht="12.75" hidden="1" customHeight="1" outlineLevel="1">
      <c r="A213" s="386"/>
      <c r="B213" s="505"/>
      <c r="C213" s="506"/>
      <c r="D213" s="62"/>
      <c r="E213" s="914"/>
      <c r="F213" s="915"/>
      <c r="G213" s="65"/>
      <c r="H213" s="80"/>
      <c r="I213" s="80"/>
      <c r="J213" s="80"/>
      <c r="K213" s="66"/>
      <c r="L213" s="670"/>
      <c r="M213" s="252"/>
      <c r="N213" s="519"/>
      <c r="O213" s="520"/>
      <c r="P213" s="520"/>
      <c r="Q213" s="520"/>
      <c r="R213" s="520"/>
      <c r="S213" s="249"/>
      <c r="T213" s="64"/>
      <c r="U213" s="70"/>
      <c r="V213" s="508"/>
      <c r="W213" s="71"/>
      <c r="X213" s="508"/>
      <c r="Y213" s="64"/>
      <c r="Z213" s="70"/>
      <c r="AA213" s="508"/>
      <c r="AB213" s="71"/>
      <c r="AC213" s="72"/>
      <c r="AD213" s="274"/>
      <c r="AE213" s="135"/>
      <c r="AF213" s="135"/>
      <c r="AG213" s="135"/>
      <c r="AH213" s="74">
        <f t="shared" si="15"/>
        <v>0</v>
      </c>
      <c r="AI213" s="75" t="str">
        <f t="shared" si="16"/>
        <v/>
      </c>
      <c r="AJ213" s="276"/>
      <c r="AK213" s="77"/>
      <c r="AL213" s="77"/>
      <c r="AM213" s="74"/>
      <c r="AN213" s="75"/>
      <c r="AO213" s="78"/>
      <c r="AP213" s="74"/>
      <c r="AQ213" s="74"/>
      <c r="AR213" s="74"/>
      <c r="AS213" s="66"/>
      <c r="AT213" s="247"/>
      <c r="AU213" s="247"/>
      <c r="AV213" s="247"/>
      <c r="AW213" s="317"/>
      <c r="AX213" s="916"/>
      <c r="AY213" s="448"/>
      <c r="AZ213" s="311" t="str">
        <f t="shared" si="20"/>
        <v>-</v>
      </c>
      <c r="BA213" s="64" t="str">
        <f t="shared" si="23"/>
        <v>-</v>
      </c>
      <c r="BB213" s="64" t="str">
        <f t="shared" si="21"/>
        <v>-</v>
      </c>
      <c r="BC213" s="312"/>
      <c r="BD213" s="516">
        <f t="shared" si="22"/>
        <v>0</v>
      </c>
      <c r="BE213" s="920"/>
      <c r="BF213" s="918"/>
      <c r="BG213" s="918"/>
      <c r="BH213" s="94"/>
      <c r="BI213" s="91"/>
      <c r="BJ213" s="91"/>
      <c r="BK213" s="91"/>
      <c r="BL213" s="91"/>
      <c r="BM213" s="91"/>
      <c r="BN213" s="91"/>
      <c r="BO213" s="94"/>
      <c r="BP213" s="921"/>
      <c r="BQ213" s="922"/>
      <c r="BR213" s="536"/>
      <c r="BS213" s="214"/>
      <c r="BT213" s="131"/>
      <c r="BU213" s="215"/>
      <c r="BV213" s="99"/>
      <c r="BW213" s="385"/>
      <c r="BX213" s="214"/>
      <c r="BY213" s="214"/>
      <c r="BZ213" s="101"/>
      <c r="CA213" s="102"/>
      <c r="CB213" s="103"/>
      <c r="CC213" s="104"/>
      <c r="CD213" s="105"/>
      <c r="CE213" s="106"/>
      <c r="CF213" s="107"/>
      <c r="CG213" s="108"/>
      <c r="CH213" s="377"/>
      <c r="CI213" s="860"/>
      <c r="CJ213" s="715"/>
      <c r="CK213" s="111"/>
    </row>
    <row r="214" spans="1:89" ht="28.5" hidden="1" customHeight="1" outlineLevel="1" collapsed="1">
      <c r="A214" s="148" t="s">
        <v>86</v>
      </c>
      <c r="B214" s="149">
        <f>COUNTIF(A205:A213,$B$1)</f>
        <v>0</v>
      </c>
      <c r="C214" s="150"/>
      <c r="D214" s="151"/>
      <c r="E214" s="151"/>
      <c r="F214" s="151"/>
      <c r="G214" s="152">
        <f>SUMIF(A205:A213,$B$1,G205:G213)</f>
        <v>0</v>
      </c>
      <c r="H214" s="152">
        <f>SUMIF(A205:A213,$B$1,H205:H213)</f>
        <v>0</v>
      </c>
      <c r="I214" s="152">
        <f>SUM(I205:I213)</f>
        <v>0</v>
      </c>
      <c r="J214" s="152"/>
      <c r="K214" s="152"/>
      <c r="L214" s="152">
        <f>SUMIF(A205:A213,$B$1,L205:L213)</f>
        <v>0</v>
      </c>
      <c r="M214" s="152"/>
      <c r="N214" s="152"/>
      <c r="O214" s="152"/>
      <c r="P214" s="152"/>
      <c r="Q214" s="152"/>
      <c r="R214" s="152"/>
      <c r="S214" s="152"/>
      <c r="T214" s="152"/>
      <c r="U214" s="152"/>
      <c r="V214" s="151"/>
      <c r="W214" s="151"/>
      <c r="X214" s="151"/>
      <c r="Y214" s="152"/>
      <c r="Z214" s="152"/>
      <c r="AA214" s="151"/>
      <c r="AB214" s="151"/>
      <c r="AC214" s="151"/>
      <c r="AD214" s="151"/>
      <c r="AE214" s="154"/>
      <c r="AF214" s="155"/>
      <c r="AG214" s="156"/>
      <c r="AH214" s="152"/>
      <c r="AI214" s="157"/>
      <c r="AJ214" s="730"/>
      <c r="AK214" s="156"/>
      <c r="AL214" s="156"/>
      <c r="AM214" s="152"/>
      <c r="AN214" s="157"/>
      <c r="AO214" s="297">
        <f>COUNTA(AO205:AO213)</f>
        <v>0</v>
      </c>
      <c r="AP214" s="152">
        <f>SUM(AP205:AP213)</f>
        <v>0</v>
      </c>
      <c r="AQ214" s="152">
        <f>SUM(AQ205:AQ213)</f>
        <v>0</v>
      </c>
      <c r="AR214" s="161"/>
      <c r="AS214" s="151"/>
      <c r="AT214" s="151"/>
      <c r="AU214" s="151"/>
      <c r="AV214" s="151"/>
      <c r="AW214" s="151"/>
      <c r="AX214" s="151"/>
      <c r="AY214" s="682"/>
      <c r="AZ214" s="163">
        <f>SUM(AZ205:AZ213)</f>
        <v>0</v>
      </c>
      <c r="BA214" s="163">
        <f>SUM(BA205:BA213)</f>
        <v>0</v>
      </c>
      <c r="BB214" s="163">
        <f>SUM(BB205:BB213)</f>
        <v>0</v>
      </c>
      <c r="BC214" s="221" t="str">
        <f>IF(COUNT(BC205:BC213)=0,"-",AVERAGE(BC205:BC213))</f>
        <v>-</v>
      </c>
      <c r="BD214" s="165"/>
      <c r="BE214" s="166"/>
      <c r="BF214" s="222"/>
      <c r="BG214" s="223"/>
      <c r="BH214" s="895"/>
      <c r="BI214" s="895"/>
      <c r="BJ214" s="895"/>
      <c r="BK214" s="895"/>
      <c r="BL214" s="895"/>
      <c r="BM214" s="895"/>
      <c r="BN214" s="895"/>
      <c r="BO214" s="895"/>
      <c r="BP214" s="176"/>
      <c r="BQ214" s="177"/>
      <c r="BR214" s="897"/>
      <c r="BS214" s="898"/>
      <c r="BT214" s="870"/>
      <c r="BU214" s="899"/>
      <c r="BV214" s="871"/>
      <c r="BW214" s="897"/>
      <c r="BX214" s="908"/>
      <c r="BY214" s="909"/>
      <c r="BZ214" s="171"/>
      <c r="CA214" s="172"/>
      <c r="CB214" s="173">
        <f>AO214</f>
        <v>0</v>
      </c>
      <c r="CC214" s="173">
        <f>COUNTIF(CC205:CC213,"=0")</f>
        <v>2</v>
      </c>
      <c r="CD214" s="174">
        <f>SUM(COUNTIF(CC205:CC213,"&lt;0"),COUNTIF(CC205:CC213,"&gt;0"))</f>
        <v>0</v>
      </c>
      <c r="CE214" s="225"/>
      <c r="CF214" s="226"/>
      <c r="CG214" s="227"/>
      <c r="CH214" s="228"/>
      <c r="CI214" s="731"/>
      <c r="CJ214" s="715"/>
    </row>
    <row r="215" spans="1:89" ht="28.5" hidden="1" customHeight="1" outlineLevel="1">
      <c r="A215" s="179" t="s">
        <v>87</v>
      </c>
      <c r="B215" s="348">
        <f>COUNT(A205:A213)</f>
        <v>0</v>
      </c>
      <c r="C215" s="181"/>
      <c r="D215" s="182"/>
      <c r="E215" s="182"/>
      <c r="F215" s="182"/>
      <c r="G215" s="184">
        <f>SUM(G205:G213)</f>
        <v>0</v>
      </c>
      <c r="H215" s="184">
        <f>SUMIF(A205:A212,"&gt;0",H205:H212)</f>
        <v>0</v>
      </c>
      <c r="I215" s="184"/>
      <c r="J215" s="184">
        <f>SUM(J205:J213)</f>
        <v>0</v>
      </c>
      <c r="K215" s="184"/>
      <c r="L215" s="185"/>
      <c r="M215" s="184"/>
      <c r="N215" s="184"/>
      <c r="O215" s="184"/>
      <c r="P215" s="184"/>
      <c r="Q215" s="184"/>
      <c r="R215" s="184"/>
      <c r="S215" s="185"/>
      <c r="T215" s="185">
        <f>SUMIF(AG205:AG213,"перех.",T205:T213)</f>
        <v>0</v>
      </c>
      <c r="U215" s="185"/>
      <c r="V215" s="182"/>
      <c r="W215" s="182"/>
      <c r="X215" s="182"/>
      <c r="Y215" s="185">
        <f>SUMIF(AM205:AM213,"перех.",Y205:Y213)</f>
        <v>0</v>
      </c>
      <c r="Z215" s="185"/>
      <c r="AA215" s="182"/>
      <c r="AB215" s="182"/>
      <c r="AC215" s="182"/>
      <c r="AD215" s="182"/>
      <c r="AE215" s="186"/>
      <c r="AF215" s="186"/>
      <c r="AG215" s="186"/>
      <c r="AH215" s="184">
        <f>COUNT(AI205:AI212)</f>
        <v>0</v>
      </c>
      <c r="AI215" s="184">
        <f>SUM(AI205:AI212)</f>
        <v>0</v>
      </c>
      <c r="AJ215" s="186"/>
      <c r="AK215" s="186"/>
      <c r="AL215" s="186"/>
      <c r="AM215" s="184"/>
      <c r="AN215" s="184"/>
      <c r="AO215" s="182"/>
      <c r="AP215" s="182"/>
      <c r="AQ215" s="182"/>
      <c r="AR215" s="187"/>
      <c r="AS215" s="182"/>
      <c r="AT215" s="182"/>
      <c r="AU215" s="182"/>
      <c r="AV215" s="182"/>
      <c r="AW215" s="182"/>
      <c r="AX215" s="182"/>
      <c r="AY215" s="923"/>
      <c r="AZ215" s="190"/>
      <c r="BA215" s="190"/>
      <c r="BB215" s="190"/>
      <c r="BC215" s="304"/>
      <c r="BD215" s="188">
        <f>SUM(BD205:BD213)</f>
        <v>0</v>
      </c>
      <c r="BE215" s="189"/>
      <c r="BF215" s="189"/>
      <c r="BG215" s="190"/>
      <c r="BH215" s="900"/>
      <c r="BI215" s="900"/>
      <c r="BJ215" s="900"/>
      <c r="BK215" s="900"/>
      <c r="BL215" s="900"/>
      <c r="BM215" s="900"/>
      <c r="BN215" s="900"/>
      <c r="BO215" s="900"/>
      <c r="BP215" s="308"/>
      <c r="BQ215" s="237"/>
      <c r="BR215" s="873"/>
      <c r="BS215" s="875"/>
      <c r="BT215" s="875"/>
      <c r="BU215" s="875"/>
      <c r="BV215" s="474"/>
      <c r="BW215" s="192"/>
      <c r="BX215" s="193"/>
      <c r="BY215" s="193"/>
      <c r="BZ215" s="195"/>
      <c r="CA215" s="196"/>
      <c r="CB215" s="197" t="e">
        <f>SUM(CB205:CB213)</f>
        <v>#VALUE!</v>
      </c>
      <c r="CC215" s="197">
        <f>SUMIF(CC205:CC213,"=0",CD205:CD213)</f>
        <v>0</v>
      </c>
      <c r="CD215" s="198">
        <f>SUMIF(CC212:CC213,"&lt;&gt;0",CD212:CD213)</f>
        <v>0</v>
      </c>
      <c r="CE215" s="234"/>
      <c r="CF215" s="197"/>
      <c r="CG215" s="197"/>
      <c r="CH215" s="198"/>
      <c r="CI215" s="744"/>
      <c r="CJ215" s="715"/>
    </row>
    <row r="216" spans="1:89" ht="33" hidden="1" customHeight="1" outlineLevel="1" collapsed="1">
      <c r="A216" s="2147" t="s">
        <v>258</v>
      </c>
      <c r="B216" s="2147"/>
      <c r="C216" s="2147"/>
      <c r="D216" s="2147"/>
      <c r="E216" s="2147"/>
      <c r="F216" s="2147"/>
      <c r="G216" s="2147"/>
      <c r="H216" s="2147"/>
      <c r="I216" s="2147"/>
      <c r="J216" s="2147"/>
      <c r="K216" s="2147"/>
      <c r="L216" s="2147"/>
      <c r="M216" s="2147"/>
      <c r="N216" s="2147"/>
      <c r="O216" s="2147"/>
      <c r="P216" s="2147"/>
      <c r="Q216" s="2147"/>
      <c r="R216" s="2147"/>
      <c r="S216" s="2147"/>
      <c r="T216" s="2147"/>
      <c r="U216" s="2147"/>
      <c r="V216" s="2147"/>
      <c r="W216" s="2147"/>
      <c r="X216" s="2147"/>
      <c r="Y216" s="2147"/>
      <c r="Z216" s="2147"/>
      <c r="AA216" s="2147"/>
      <c r="AB216" s="2147"/>
      <c r="AC216" s="2147"/>
      <c r="AD216" s="2147"/>
      <c r="AE216" s="2147"/>
      <c r="AF216" s="2147"/>
      <c r="AG216" s="2147"/>
      <c r="AH216" s="2147"/>
      <c r="AI216" s="2147"/>
      <c r="AJ216" s="2147"/>
      <c r="AK216" s="2147"/>
      <c r="AL216" s="2147"/>
      <c r="AM216" s="2147"/>
      <c r="AN216" s="2147"/>
      <c r="AO216" s="2147"/>
      <c r="AP216" s="2147"/>
      <c r="AQ216" s="2147"/>
      <c r="AR216" s="2147"/>
      <c r="AS216" s="2147"/>
      <c r="AT216" s="2147"/>
      <c r="AU216" s="2147"/>
      <c r="AV216" s="2147"/>
      <c r="AW216" s="2147"/>
      <c r="AX216" s="2147"/>
      <c r="AY216" s="2147"/>
      <c r="AZ216" s="2147"/>
      <c r="BA216" s="2147"/>
      <c r="BB216" s="2147"/>
      <c r="BC216" s="2147"/>
      <c r="BD216" s="2147"/>
      <c r="BE216" s="2147"/>
      <c r="BF216" s="242"/>
      <c r="BG216" s="241"/>
      <c r="BH216" s="924"/>
      <c r="BI216" s="924"/>
      <c r="BJ216" s="924"/>
      <c r="BK216" s="924"/>
      <c r="BL216" s="924"/>
      <c r="BM216" s="924"/>
      <c r="BN216" s="924"/>
      <c r="BO216" s="924"/>
      <c r="BP216" s="283"/>
      <c r="BQ216" s="264"/>
      <c r="BR216" s="207"/>
      <c r="BS216" s="208"/>
      <c r="BT216" s="208"/>
      <c r="BU216" s="208"/>
      <c r="BV216" s="209"/>
      <c r="BW216" s="207"/>
      <c r="BX216" s="208"/>
      <c r="BY216" s="209"/>
      <c r="BZ216" s="925"/>
      <c r="CA216" s="502"/>
      <c r="CB216" s="502"/>
      <c r="CC216" s="502"/>
      <c r="CD216" s="503"/>
      <c r="CE216" s="926"/>
      <c r="CF216" s="502"/>
      <c r="CG216" s="502"/>
      <c r="CH216" s="503"/>
      <c r="CI216" s="601"/>
      <c r="CJ216" s="715"/>
      <c r="CK216" s="602"/>
    </row>
    <row r="217" spans="1:89" ht="33" hidden="1" customHeight="1" outlineLevel="1">
      <c r="A217" s="484" t="s">
        <v>95</v>
      </c>
      <c r="B217" s="505"/>
      <c r="C217" s="505"/>
      <c r="D217" s="248"/>
      <c r="E217" s="62"/>
      <c r="F217" s="270"/>
      <c r="G217" s="80"/>
      <c r="H217" s="80"/>
      <c r="I217" s="80"/>
      <c r="J217" s="80"/>
      <c r="K217" s="66"/>
      <c r="L217" s="80"/>
      <c r="M217" s="252"/>
      <c r="N217" s="252"/>
      <c r="O217" s="69"/>
      <c r="P217" s="71"/>
      <c r="Q217" s="71"/>
      <c r="R217" s="71"/>
      <c r="S217" s="273"/>
      <c r="T217" s="63"/>
      <c r="U217" s="71"/>
      <c r="V217" s="537"/>
      <c r="W217" s="71"/>
      <c r="X217" s="537"/>
      <c r="Y217" s="63"/>
      <c r="Z217" s="71"/>
      <c r="AA217" s="817"/>
      <c r="AB217" s="71"/>
      <c r="AC217" s="72"/>
      <c r="AD217" s="274" t="s">
        <v>257</v>
      </c>
      <c r="AE217" s="73"/>
      <c r="AF217" s="135"/>
      <c r="AG217" s="135"/>
      <c r="AH217" s="74">
        <f t="shared" ref="AH217:AH227" si="24">IF(AE217="переход","",AF217-AE217)</f>
        <v>0</v>
      </c>
      <c r="AI217" s="75" t="str">
        <f>IF(T217="","",AH217*T217)</f>
        <v/>
      </c>
      <c r="AJ217" s="319"/>
      <c r="AK217" s="77"/>
      <c r="AL217" s="77">
        <f>AK217</f>
        <v>0</v>
      </c>
      <c r="AM217" s="74"/>
      <c r="AN217" s="75"/>
      <c r="AO217" s="78"/>
      <c r="AP217" s="74"/>
      <c r="AQ217" s="256"/>
      <c r="AR217" s="257"/>
      <c r="AS217" s="80"/>
      <c r="AT217" s="112"/>
      <c r="AU217" s="252"/>
      <c r="AV217" s="252"/>
      <c r="AW217" s="252"/>
      <c r="AX217" s="258"/>
      <c r="AY217" s="448" t="s">
        <v>84</v>
      </c>
      <c r="AZ217" s="311" t="str">
        <f t="shared" ref="AZ217:AZ228" si="25">IF(AP217&lt;1,"-",AP217-Y217)</f>
        <v>-</v>
      </c>
      <c r="BA217" s="64" t="str">
        <f t="shared" ref="BA217:BA228" si="26">IF(AZ217="-","-",($B$2-AO217+1)*AZ217)</f>
        <v>-</v>
      </c>
      <c r="BB217" s="64" t="str">
        <f t="shared" ref="BB217:BB228" si="27">IF(AZ217="-","-",AZ217-H217)</f>
        <v>-</v>
      </c>
      <c r="BC217" s="312"/>
      <c r="BD217" s="516"/>
      <c r="BE217" s="927"/>
      <c r="BF217" s="928"/>
      <c r="BG217" s="90"/>
      <c r="BH217" s="929"/>
      <c r="BI217" s="929"/>
      <c r="BJ217" s="929"/>
      <c r="BK217" s="929"/>
      <c r="BL217" s="929"/>
      <c r="BM217" s="929"/>
      <c r="BN217" s="91" t="str">
        <f t="shared" ref="BN217:BO228" si="28">IF(BH217=0,"-",BH217-AP217)</f>
        <v>-</v>
      </c>
      <c r="BO217" s="91" t="str">
        <f t="shared" si="28"/>
        <v>-</v>
      </c>
      <c r="BP217" s="94" t="str">
        <f t="shared" ref="BP217:BP228" si="29">IF(BN217="-","-",AZ217+BN217)</f>
        <v>-</v>
      </c>
      <c r="BQ217" s="95" t="str">
        <f t="shared" ref="BQ217:BQ228" si="30">IF(BN217="-","-",(($B$2-AO217+1)*(AZ217+BN217)))</f>
        <v>-</v>
      </c>
      <c r="BR217" s="315"/>
      <c r="BS217" s="214"/>
      <c r="BT217" s="131"/>
      <c r="BU217" s="215"/>
      <c r="BV217" s="99"/>
      <c r="BW217" s="284"/>
      <c r="BX217" s="214"/>
      <c r="BY217" s="214"/>
      <c r="BZ217" s="101"/>
      <c r="CA217" s="133"/>
      <c r="CB217" s="103"/>
      <c r="CC217" s="104"/>
      <c r="CD217" s="105"/>
      <c r="CE217" s="930"/>
      <c r="CF217" s="263"/>
      <c r="CG217" s="263"/>
      <c r="CH217" s="931"/>
      <c r="CI217" s="912" t="s">
        <v>130</v>
      </c>
      <c r="CJ217" s="715"/>
      <c r="CK217" s="932">
        <f>AP217-Y217</f>
        <v>0</v>
      </c>
    </row>
    <row r="218" spans="1:89" ht="33" hidden="1" customHeight="1" outlineLevel="1">
      <c r="A218" s="59"/>
      <c r="B218" s="505"/>
      <c r="C218" s="505"/>
      <c r="D218" s="248"/>
      <c r="E218" s="248"/>
      <c r="F218" s="270"/>
      <c r="G218" s="80"/>
      <c r="H218" s="80"/>
      <c r="I218" s="80"/>
      <c r="J218" s="80"/>
      <c r="K218" s="66"/>
      <c r="L218" s="80"/>
      <c r="M218" s="252"/>
      <c r="N218" s="252"/>
      <c r="O218" s="85"/>
      <c r="P218" s="71"/>
      <c r="Q218" s="71"/>
      <c r="R218" s="71"/>
      <c r="S218" s="66"/>
      <c r="T218" s="63"/>
      <c r="U218" s="71"/>
      <c r="V218" s="913"/>
      <c r="W218" s="71"/>
      <c r="X218" s="537"/>
      <c r="Y218" s="63"/>
      <c r="Z218" s="71"/>
      <c r="AA218" s="537"/>
      <c r="AB218" s="71"/>
      <c r="AC218" s="72"/>
      <c r="AD218" s="274" t="s">
        <v>129</v>
      </c>
      <c r="AE218" s="73"/>
      <c r="AF218" s="135"/>
      <c r="AG218" s="135"/>
      <c r="AH218" s="74">
        <f t="shared" si="24"/>
        <v>0</v>
      </c>
      <c r="AI218" s="75" t="str">
        <f>IF(T218="","",AH218*T218)</f>
        <v/>
      </c>
      <c r="AJ218" s="319"/>
      <c r="AK218" s="77"/>
      <c r="AL218" s="77"/>
      <c r="AM218" s="74">
        <f t="shared" ref="AM218:AM227" si="31">IF(AJ218="переход","",AL218-AJ218)</f>
        <v>0</v>
      </c>
      <c r="AN218" s="75" t="str">
        <f t="shared" ref="AN218:AN228" si="32">IF(Y218="","",AM218*Y218)</f>
        <v/>
      </c>
      <c r="AO218" s="78"/>
      <c r="AP218" s="74"/>
      <c r="AQ218" s="256"/>
      <c r="AR218" s="257"/>
      <c r="AS218" s="71"/>
      <c r="AT218" s="71"/>
      <c r="AU218" s="68"/>
      <c r="AV218" s="68"/>
      <c r="AW218" s="68"/>
      <c r="AX218" s="258"/>
      <c r="AY218" s="448" t="s">
        <v>84</v>
      </c>
      <c r="AZ218" s="311" t="str">
        <f t="shared" si="25"/>
        <v>-</v>
      </c>
      <c r="BA218" s="64" t="str">
        <f t="shared" si="26"/>
        <v>-</v>
      </c>
      <c r="BB218" s="64" t="str">
        <f t="shared" si="27"/>
        <v>-</v>
      </c>
      <c r="BC218" s="312" t="str">
        <f t="shared" ref="BC218:BC228" si="33">IF(AZ218="-","-",AZ218/H218)</f>
        <v>-</v>
      </c>
      <c r="BD218" s="516">
        <f t="shared" ref="BD218:BD228" si="34">IF(AP218&lt;1,IF($B$2&gt;=A218,($A$2-A218+1)*-1*H218,"-"),AZ218*($A$2-AO218+1)-H218*($A$2-A218+1))</f>
        <v>0</v>
      </c>
      <c r="BE218" s="927"/>
      <c r="BF218" s="928"/>
      <c r="BG218" s="90"/>
      <c r="BH218" s="929"/>
      <c r="BI218" s="929"/>
      <c r="BJ218" s="929"/>
      <c r="BK218" s="929"/>
      <c r="BL218" s="929"/>
      <c r="BM218" s="929"/>
      <c r="BN218" s="91" t="str">
        <f t="shared" si="28"/>
        <v>-</v>
      </c>
      <c r="BO218" s="91" t="str">
        <f t="shared" si="28"/>
        <v>-</v>
      </c>
      <c r="BP218" s="94" t="str">
        <f t="shared" si="29"/>
        <v>-</v>
      </c>
      <c r="BQ218" s="95" t="str">
        <f t="shared" si="30"/>
        <v>-</v>
      </c>
      <c r="BR218" s="315"/>
      <c r="BS218" s="214" t="str">
        <f>AN218</f>
        <v/>
      </c>
      <c r="BT218" s="131"/>
      <c r="BU218" s="215"/>
      <c r="BV218" s="99" t="str">
        <f t="shared" ref="BV218:BV228" si="35">IF(AO218&lt;1,"",(AO218))</f>
        <v/>
      </c>
      <c r="BW218" s="284"/>
      <c r="BX218" s="214"/>
      <c r="BY218" s="214"/>
      <c r="BZ218" s="101"/>
      <c r="CA218" s="133"/>
      <c r="CB218" s="103"/>
      <c r="CC218" s="104"/>
      <c r="CD218" s="105"/>
      <c r="CE218" s="930"/>
      <c r="CF218" s="263"/>
      <c r="CG218" s="263"/>
      <c r="CH218" s="931"/>
      <c r="CI218" s="912" t="s">
        <v>130</v>
      </c>
      <c r="CJ218" s="715"/>
      <c r="CK218" s="932">
        <f>AP218-Y218</f>
        <v>0</v>
      </c>
    </row>
    <row r="219" spans="1:89" ht="33" hidden="1" customHeight="1" outlineLevel="1">
      <c r="A219" s="59"/>
      <c r="B219" s="505"/>
      <c r="C219" s="505"/>
      <c r="D219" s="248"/>
      <c r="E219" s="62"/>
      <c r="F219" s="270"/>
      <c r="G219" s="80"/>
      <c r="H219" s="80"/>
      <c r="I219" s="80"/>
      <c r="J219" s="80"/>
      <c r="K219" s="66"/>
      <c r="L219" s="80"/>
      <c r="M219" s="252"/>
      <c r="N219" s="252"/>
      <c r="O219" s="71"/>
      <c r="P219" s="71"/>
      <c r="Q219" s="71"/>
      <c r="R219" s="71"/>
      <c r="S219" s="66"/>
      <c r="T219" s="63"/>
      <c r="U219" s="71"/>
      <c r="V219" s="537"/>
      <c r="W219" s="71"/>
      <c r="X219" s="537"/>
      <c r="Y219" s="63"/>
      <c r="Z219" s="71"/>
      <c r="AA219" s="537"/>
      <c r="AB219" s="71"/>
      <c r="AC219" s="72"/>
      <c r="AD219" s="274" t="s">
        <v>129</v>
      </c>
      <c r="AE219" s="73"/>
      <c r="AF219" s="135"/>
      <c r="AG219" s="135"/>
      <c r="AH219" s="74">
        <f t="shared" si="24"/>
        <v>0</v>
      </c>
      <c r="AI219" s="75" t="str">
        <f>IF(T219="","",AH219*T219)</f>
        <v/>
      </c>
      <c r="AJ219" s="319"/>
      <c r="AK219" s="77"/>
      <c r="AL219" s="77"/>
      <c r="AM219" s="74">
        <f t="shared" si="31"/>
        <v>0</v>
      </c>
      <c r="AN219" s="75" t="str">
        <f t="shared" si="32"/>
        <v/>
      </c>
      <c r="AO219" s="78"/>
      <c r="AP219" s="74"/>
      <c r="AQ219" s="256"/>
      <c r="AR219" s="257"/>
      <c r="AS219" s="80"/>
      <c r="AT219" s="68"/>
      <c r="AU219" s="68"/>
      <c r="AV219" s="68"/>
      <c r="AW219" s="68"/>
      <c r="AX219" s="258"/>
      <c r="AY219" s="448"/>
      <c r="AZ219" s="311" t="str">
        <f t="shared" si="25"/>
        <v>-</v>
      </c>
      <c r="BA219" s="64" t="str">
        <f t="shared" si="26"/>
        <v>-</v>
      </c>
      <c r="BB219" s="64" t="str">
        <f t="shared" si="27"/>
        <v>-</v>
      </c>
      <c r="BC219" s="312" t="str">
        <f t="shared" si="33"/>
        <v>-</v>
      </c>
      <c r="BD219" s="516">
        <f t="shared" si="34"/>
        <v>0</v>
      </c>
      <c r="BE219" s="933"/>
      <c r="BF219" s="703"/>
      <c r="BG219" s="90"/>
      <c r="BH219" s="457"/>
      <c r="BI219" s="450"/>
      <c r="BJ219" s="450"/>
      <c r="BK219" s="91"/>
      <c r="BL219" s="91"/>
      <c r="BM219" s="91"/>
      <c r="BN219" s="91" t="str">
        <f t="shared" si="28"/>
        <v>-</v>
      </c>
      <c r="BO219" s="91" t="str">
        <f t="shared" si="28"/>
        <v>-</v>
      </c>
      <c r="BP219" s="94" t="str">
        <f t="shared" si="29"/>
        <v>-</v>
      </c>
      <c r="BQ219" s="95" t="str">
        <f t="shared" si="30"/>
        <v>-</v>
      </c>
      <c r="BR219" s="130"/>
      <c r="BS219" s="214" t="str">
        <f>AN219</f>
        <v/>
      </c>
      <c r="BT219" s="131"/>
      <c r="BU219" s="215"/>
      <c r="BV219" s="99" t="str">
        <f t="shared" si="35"/>
        <v/>
      </c>
      <c r="BW219" s="284"/>
      <c r="BX219" s="214"/>
      <c r="BY219" s="214"/>
      <c r="BZ219" s="101"/>
      <c r="CA219" s="102"/>
      <c r="CB219" s="103"/>
      <c r="CC219" s="104"/>
      <c r="CD219" s="105"/>
      <c r="CE219" s="106"/>
      <c r="CF219" s="107"/>
      <c r="CG219" s="108"/>
      <c r="CH219" s="377"/>
      <c r="CI219" s="860" t="s">
        <v>130</v>
      </c>
      <c r="CJ219" s="715"/>
      <c r="CK219" s="932">
        <f t="shared" ref="CK219:CK227" si="36">AP219-Y219</f>
        <v>0</v>
      </c>
    </row>
    <row r="220" spans="1:89" ht="33" hidden="1" customHeight="1" outlineLevel="1">
      <c r="A220" s="59"/>
      <c r="B220" s="505"/>
      <c r="C220" s="505"/>
      <c r="D220" s="248"/>
      <c r="E220" s="62"/>
      <c r="F220" s="270"/>
      <c r="G220" s="80"/>
      <c r="H220" s="80"/>
      <c r="I220" s="80"/>
      <c r="J220" s="80"/>
      <c r="K220" s="66"/>
      <c r="L220" s="80"/>
      <c r="M220" s="252"/>
      <c r="N220" s="252"/>
      <c r="O220" s="71"/>
      <c r="P220" s="71"/>
      <c r="Q220" s="71"/>
      <c r="R220" s="71"/>
      <c r="S220" s="273"/>
      <c r="T220" s="63"/>
      <c r="U220" s="71"/>
      <c r="V220" s="71"/>
      <c r="W220" s="71"/>
      <c r="X220" s="71"/>
      <c r="Y220" s="63"/>
      <c r="Z220" s="71"/>
      <c r="AA220" s="71"/>
      <c r="AB220" s="71"/>
      <c r="AC220" s="72"/>
      <c r="AD220" s="274" t="s">
        <v>129</v>
      </c>
      <c r="AE220" s="73"/>
      <c r="AF220" s="135"/>
      <c r="AG220" s="135"/>
      <c r="AH220" s="74">
        <f t="shared" si="24"/>
        <v>0</v>
      </c>
      <c r="AI220" s="75" t="str">
        <f>IF(T220="","",AH220*T220)</f>
        <v/>
      </c>
      <c r="AJ220" s="276"/>
      <c r="AK220" s="77"/>
      <c r="AL220" s="77"/>
      <c r="AM220" s="74">
        <f t="shared" si="31"/>
        <v>0</v>
      </c>
      <c r="AN220" s="75" t="str">
        <f t="shared" si="32"/>
        <v/>
      </c>
      <c r="AO220" s="78"/>
      <c r="AP220" s="74"/>
      <c r="AQ220" s="256"/>
      <c r="AR220" s="74"/>
      <c r="AS220" s="80"/>
      <c r="AT220" s="68"/>
      <c r="AU220" s="68"/>
      <c r="AV220" s="68"/>
      <c r="AW220" s="68"/>
      <c r="AX220" s="258"/>
      <c r="AY220" s="448"/>
      <c r="AZ220" s="311" t="str">
        <f t="shared" si="25"/>
        <v>-</v>
      </c>
      <c r="BA220" s="64" t="str">
        <f t="shared" si="26"/>
        <v>-</v>
      </c>
      <c r="BB220" s="64" t="str">
        <f t="shared" si="27"/>
        <v>-</v>
      </c>
      <c r="BC220" s="312" t="str">
        <f t="shared" si="33"/>
        <v>-</v>
      </c>
      <c r="BD220" s="516">
        <f t="shared" si="34"/>
        <v>0</v>
      </c>
      <c r="BE220" s="934"/>
      <c r="BF220" s="703"/>
      <c r="BG220" s="90"/>
      <c r="BH220" s="457"/>
      <c r="BI220" s="450"/>
      <c r="BJ220" s="450"/>
      <c r="BK220" s="91"/>
      <c r="BL220" s="91"/>
      <c r="BM220" s="91"/>
      <c r="BN220" s="91" t="str">
        <f t="shared" si="28"/>
        <v>-</v>
      </c>
      <c r="BO220" s="91" t="str">
        <f t="shared" si="28"/>
        <v>-</v>
      </c>
      <c r="BP220" s="94" t="str">
        <f t="shared" si="29"/>
        <v>-</v>
      </c>
      <c r="BQ220" s="95" t="str">
        <f t="shared" si="30"/>
        <v>-</v>
      </c>
      <c r="BR220" s="130"/>
      <c r="BS220" s="214"/>
      <c r="BT220" s="131"/>
      <c r="BU220" s="215"/>
      <c r="BV220" s="99" t="str">
        <f t="shared" si="35"/>
        <v/>
      </c>
      <c r="BW220" s="284"/>
      <c r="BX220" s="214"/>
      <c r="BY220" s="214"/>
      <c r="BZ220" s="101"/>
      <c r="CA220" s="102"/>
      <c r="CB220" s="103"/>
      <c r="CC220" s="104"/>
      <c r="CD220" s="105"/>
      <c r="CE220" s="106"/>
      <c r="CF220" s="107"/>
      <c r="CG220" s="108"/>
      <c r="CH220" s="377"/>
      <c r="CI220" s="860" t="s">
        <v>130</v>
      </c>
      <c r="CJ220" s="715"/>
      <c r="CK220" s="932">
        <f t="shared" si="36"/>
        <v>0</v>
      </c>
    </row>
    <row r="221" spans="1:89" ht="33" hidden="1" customHeight="1" outlineLevel="1">
      <c r="A221" s="59"/>
      <c r="B221" s="505"/>
      <c r="C221" s="505"/>
      <c r="D221" s="248"/>
      <c r="E221" s="62"/>
      <c r="F221" s="270"/>
      <c r="G221" s="80"/>
      <c r="H221" s="80"/>
      <c r="I221" s="80"/>
      <c r="J221" s="80"/>
      <c r="K221" s="66"/>
      <c r="L221" s="80"/>
      <c r="M221" s="252"/>
      <c r="N221" s="252"/>
      <c r="O221" s="71"/>
      <c r="P221" s="71"/>
      <c r="Q221" s="71"/>
      <c r="R221" s="71"/>
      <c r="S221" s="249"/>
      <c r="T221" s="63"/>
      <c r="U221" s="70"/>
      <c r="V221" s="508"/>
      <c r="W221" s="71"/>
      <c r="X221" s="508"/>
      <c r="Y221" s="63"/>
      <c r="Z221" s="70"/>
      <c r="AA221" s="508"/>
      <c r="AB221" s="71"/>
      <c r="AC221" s="72"/>
      <c r="AD221" s="274" t="s">
        <v>129</v>
      </c>
      <c r="AE221" s="73"/>
      <c r="AF221" s="135"/>
      <c r="AG221" s="135"/>
      <c r="AH221" s="74">
        <f t="shared" si="24"/>
        <v>0</v>
      </c>
      <c r="AI221" s="75"/>
      <c r="AJ221" s="276"/>
      <c r="AK221" s="77"/>
      <c r="AL221" s="77"/>
      <c r="AM221" s="74">
        <f t="shared" si="31"/>
        <v>0</v>
      </c>
      <c r="AN221" s="75" t="str">
        <f t="shared" si="32"/>
        <v/>
      </c>
      <c r="AO221" s="78"/>
      <c r="AP221" s="74"/>
      <c r="AQ221" s="256"/>
      <c r="AR221" s="74"/>
      <c r="AS221" s="66"/>
      <c r="AT221" s="247"/>
      <c r="AU221" s="247"/>
      <c r="AV221" s="68"/>
      <c r="AW221" s="68"/>
      <c r="AX221" s="258"/>
      <c r="AY221" s="448"/>
      <c r="AZ221" s="311" t="str">
        <f t="shared" si="25"/>
        <v>-</v>
      </c>
      <c r="BA221" s="64" t="str">
        <f t="shared" si="26"/>
        <v>-</v>
      </c>
      <c r="BB221" s="64" t="str">
        <f t="shared" si="27"/>
        <v>-</v>
      </c>
      <c r="BC221" s="312" t="str">
        <f t="shared" si="33"/>
        <v>-</v>
      </c>
      <c r="BD221" s="516">
        <f t="shared" si="34"/>
        <v>0</v>
      </c>
      <c r="BE221" s="927"/>
      <c r="BF221" s="748"/>
      <c r="BG221" s="90"/>
      <c r="BH221" s="91"/>
      <c r="BI221" s="91"/>
      <c r="BJ221" s="91"/>
      <c r="BK221" s="91"/>
      <c r="BL221" s="91"/>
      <c r="BM221" s="91"/>
      <c r="BN221" s="91" t="str">
        <f t="shared" si="28"/>
        <v>-</v>
      </c>
      <c r="BO221" s="91" t="str">
        <f t="shared" si="28"/>
        <v>-</v>
      </c>
      <c r="BP221" s="94" t="str">
        <f t="shared" si="29"/>
        <v>-</v>
      </c>
      <c r="BQ221" s="95" t="str">
        <f t="shared" si="30"/>
        <v>-</v>
      </c>
      <c r="BR221" s="130"/>
      <c r="BS221" s="214"/>
      <c r="BT221" s="131"/>
      <c r="BU221" s="215"/>
      <c r="BV221" s="99" t="str">
        <f t="shared" si="35"/>
        <v/>
      </c>
      <c r="BW221" s="284"/>
      <c r="BX221" s="214"/>
      <c r="BY221" s="214"/>
      <c r="BZ221" s="101"/>
      <c r="CA221" s="102"/>
      <c r="CB221" s="103"/>
      <c r="CC221" s="104"/>
      <c r="CD221" s="105"/>
      <c r="CE221" s="627"/>
      <c r="CF221" s="107"/>
      <c r="CG221" s="108"/>
      <c r="CH221" s="726"/>
      <c r="CI221" s="912" t="s">
        <v>130</v>
      </c>
      <c r="CJ221" s="715"/>
      <c r="CK221" s="932">
        <f t="shared" si="36"/>
        <v>0</v>
      </c>
    </row>
    <row r="222" spans="1:89" ht="33" hidden="1" customHeight="1" outlineLevel="1">
      <c r="A222" s="59"/>
      <c r="B222" s="505"/>
      <c r="C222" s="505"/>
      <c r="D222" s="248"/>
      <c r="E222" s="248"/>
      <c r="F222" s="270"/>
      <c r="G222" s="80"/>
      <c r="H222" s="80"/>
      <c r="I222" s="80"/>
      <c r="J222" s="80"/>
      <c r="K222" s="66"/>
      <c r="L222" s="80"/>
      <c r="M222" s="63"/>
      <c r="N222" s="71"/>
      <c r="O222" s="71"/>
      <c r="P222" s="71"/>
      <c r="Q222" s="71"/>
      <c r="R222" s="71"/>
      <c r="S222" s="273"/>
      <c r="T222" s="63"/>
      <c r="U222" s="71"/>
      <c r="V222" s="287"/>
      <c r="W222" s="71"/>
      <c r="X222" s="71"/>
      <c r="Y222" s="63"/>
      <c r="Z222" s="71"/>
      <c r="AA222" s="287"/>
      <c r="AB222" s="71"/>
      <c r="AC222" s="72"/>
      <c r="AD222" s="274" t="s">
        <v>129</v>
      </c>
      <c r="AE222" s="135"/>
      <c r="AF222" s="135"/>
      <c r="AG222" s="135"/>
      <c r="AH222" s="74">
        <f t="shared" si="24"/>
        <v>0</v>
      </c>
      <c r="AI222" s="75"/>
      <c r="AJ222" s="276"/>
      <c r="AK222" s="77"/>
      <c r="AL222" s="77"/>
      <c r="AM222" s="74">
        <f t="shared" si="31"/>
        <v>0</v>
      </c>
      <c r="AN222" s="75" t="str">
        <f t="shared" si="32"/>
        <v/>
      </c>
      <c r="AO222" s="78"/>
      <c r="AP222" s="74"/>
      <c r="AQ222" s="256"/>
      <c r="AR222" s="74"/>
      <c r="AS222" s="66"/>
      <c r="AT222" s="247"/>
      <c r="AU222" s="247"/>
      <c r="AV222" s="68"/>
      <c r="AW222" s="68"/>
      <c r="AX222" s="258"/>
      <c r="AY222" s="448"/>
      <c r="AZ222" s="311" t="str">
        <f t="shared" si="25"/>
        <v>-</v>
      </c>
      <c r="BA222" s="64" t="str">
        <f t="shared" si="26"/>
        <v>-</v>
      </c>
      <c r="BB222" s="64" t="str">
        <f t="shared" si="27"/>
        <v>-</v>
      </c>
      <c r="BC222" s="312" t="str">
        <f t="shared" si="33"/>
        <v>-</v>
      </c>
      <c r="BD222" s="516">
        <f t="shared" si="34"/>
        <v>0</v>
      </c>
      <c r="BE222" s="927"/>
      <c r="BF222" s="748"/>
      <c r="BG222" s="90"/>
      <c r="BH222" s="91"/>
      <c r="BI222" s="91"/>
      <c r="BJ222" s="91"/>
      <c r="BK222" s="91"/>
      <c r="BL222" s="91"/>
      <c r="BM222" s="91"/>
      <c r="BN222" s="91" t="str">
        <f t="shared" si="28"/>
        <v>-</v>
      </c>
      <c r="BO222" s="91" t="str">
        <f t="shared" si="28"/>
        <v>-</v>
      </c>
      <c r="BP222" s="94" t="str">
        <f t="shared" si="29"/>
        <v>-</v>
      </c>
      <c r="BQ222" s="95" t="str">
        <f t="shared" si="30"/>
        <v>-</v>
      </c>
      <c r="BR222" s="130"/>
      <c r="BS222" s="214"/>
      <c r="BT222" s="131"/>
      <c r="BU222" s="215"/>
      <c r="BV222" s="99" t="str">
        <f t="shared" si="35"/>
        <v/>
      </c>
      <c r="BW222" s="284"/>
      <c r="BX222" s="214"/>
      <c r="BY222" s="214"/>
      <c r="BZ222" s="101"/>
      <c r="CA222" s="102"/>
      <c r="CB222" s="103"/>
      <c r="CC222" s="104"/>
      <c r="CD222" s="105"/>
      <c r="CE222" s="627"/>
      <c r="CF222" s="107"/>
      <c r="CG222" s="108"/>
      <c r="CH222" s="726"/>
      <c r="CI222" s="912" t="s">
        <v>130</v>
      </c>
      <c r="CJ222" s="715"/>
      <c r="CK222" s="932">
        <f t="shared" si="36"/>
        <v>0</v>
      </c>
    </row>
    <row r="223" spans="1:89" ht="33" hidden="1" customHeight="1" outlineLevel="1">
      <c r="A223" s="59"/>
      <c r="B223" s="505"/>
      <c r="C223" s="505"/>
      <c r="D223" s="248"/>
      <c r="E223" s="62"/>
      <c r="F223" s="270"/>
      <c r="G223" s="80"/>
      <c r="H223" s="80"/>
      <c r="I223" s="80"/>
      <c r="J223" s="80"/>
      <c r="K223" s="66"/>
      <c r="L223" s="80"/>
      <c r="M223" s="252"/>
      <c r="N223" s="252"/>
      <c r="O223" s="71"/>
      <c r="P223" s="71"/>
      <c r="Q223" s="71"/>
      <c r="R223" s="71"/>
      <c r="S223" s="273"/>
      <c r="T223" s="63"/>
      <c r="U223" s="71"/>
      <c r="V223" s="287"/>
      <c r="W223" s="71"/>
      <c r="X223" s="71"/>
      <c r="Y223" s="63"/>
      <c r="Z223" s="71"/>
      <c r="AA223" s="287"/>
      <c r="AB223" s="71"/>
      <c r="AC223" s="72"/>
      <c r="AD223" s="274" t="s">
        <v>129</v>
      </c>
      <c r="AE223" s="935"/>
      <c r="AF223" s="135"/>
      <c r="AG223" s="555"/>
      <c r="AH223" s="74">
        <f t="shared" si="24"/>
        <v>0</v>
      </c>
      <c r="AI223" s="75"/>
      <c r="AJ223" s="276"/>
      <c r="AK223" s="77"/>
      <c r="AL223" s="77"/>
      <c r="AM223" s="74">
        <f t="shared" si="31"/>
        <v>0</v>
      </c>
      <c r="AN223" s="75" t="str">
        <f t="shared" si="32"/>
        <v/>
      </c>
      <c r="AO223" s="78"/>
      <c r="AP223" s="74"/>
      <c r="AQ223" s="256"/>
      <c r="AR223" s="74"/>
      <c r="AS223" s="66"/>
      <c r="AT223" s="247"/>
      <c r="AU223" s="247"/>
      <c r="AV223" s="68"/>
      <c r="AW223" s="68"/>
      <c r="AX223" s="258"/>
      <c r="AY223" s="448"/>
      <c r="AZ223" s="311" t="str">
        <f>IF(AP223&lt;1,"-",AP223-Y223)</f>
        <v>-</v>
      </c>
      <c r="BA223" s="64" t="str">
        <f t="shared" si="26"/>
        <v>-</v>
      </c>
      <c r="BB223" s="64" t="str">
        <f>IF(AZ223="-","-",AZ223-H223)</f>
        <v>-</v>
      </c>
      <c r="BC223" s="312" t="str">
        <f>IF(AZ223="-","-",AZ223/H223)</f>
        <v>-</v>
      </c>
      <c r="BD223" s="516">
        <f>IF(AP223&lt;1,IF($B$2&gt;=A223,($A$2-A223+1)*-1*H223,"-"),AZ223*($A$2-AO223+1)-H223*($A$2-A223+1))</f>
        <v>0</v>
      </c>
      <c r="BE223" s="927"/>
      <c r="BF223" s="748"/>
      <c r="BG223" s="90"/>
      <c r="BH223" s="91"/>
      <c r="BI223" s="91"/>
      <c r="BJ223" s="91"/>
      <c r="BK223" s="91"/>
      <c r="BL223" s="91"/>
      <c r="BM223" s="91"/>
      <c r="BN223" s="91" t="str">
        <f t="shared" si="28"/>
        <v>-</v>
      </c>
      <c r="BO223" s="91" t="str">
        <f t="shared" si="28"/>
        <v>-</v>
      </c>
      <c r="BP223" s="94" t="str">
        <f>IF(BN223="-","-",AZ223+BN223)</f>
        <v>-</v>
      </c>
      <c r="BQ223" s="95" t="str">
        <f>IF(BN223="-","-",(($B$2-AO223+1)*(AZ223+BN223)))</f>
        <v>-</v>
      </c>
      <c r="BR223" s="130"/>
      <c r="BS223" s="214"/>
      <c r="BT223" s="131"/>
      <c r="BU223" s="215"/>
      <c r="BV223" s="99" t="str">
        <f>IF(AO223&lt;1,"",(AO223))</f>
        <v/>
      </c>
      <c r="BW223" s="284"/>
      <c r="BX223" s="214"/>
      <c r="BY223" s="214"/>
      <c r="BZ223" s="101"/>
      <c r="CA223" s="102"/>
      <c r="CB223" s="103"/>
      <c r="CC223" s="104"/>
      <c r="CD223" s="105"/>
      <c r="CE223" s="627"/>
      <c r="CF223" s="107"/>
      <c r="CG223" s="108"/>
      <c r="CH223" s="726"/>
      <c r="CI223" s="912" t="s">
        <v>130</v>
      </c>
      <c r="CJ223" s="715"/>
      <c r="CK223" s="932">
        <f t="shared" si="36"/>
        <v>0</v>
      </c>
    </row>
    <row r="224" spans="1:89" ht="33" hidden="1" customHeight="1" outlineLevel="1">
      <c r="A224" s="59"/>
      <c r="B224" s="505"/>
      <c r="C224" s="505"/>
      <c r="D224" s="62"/>
      <c r="E224" s="62"/>
      <c r="F224" s="936"/>
      <c r="G224" s="80"/>
      <c r="H224" s="80"/>
      <c r="I224" s="80"/>
      <c r="J224" s="80"/>
      <c r="K224" s="66"/>
      <c r="L224" s="80"/>
      <c r="M224" s="63"/>
      <c r="N224" s="71"/>
      <c r="O224" s="71"/>
      <c r="P224" s="71"/>
      <c r="Q224" s="71"/>
      <c r="R224" s="71"/>
      <c r="S224" s="273"/>
      <c r="T224" s="63"/>
      <c r="U224" s="71"/>
      <c r="V224" s="287"/>
      <c r="W224" s="71"/>
      <c r="X224" s="71"/>
      <c r="Y224" s="63"/>
      <c r="Z224" s="71"/>
      <c r="AA224" s="287"/>
      <c r="AB224" s="71"/>
      <c r="AC224" s="72"/>
      <c r="AD224" s="274" t="s">
        <v>129</v>
      </c>
      <c r="AE224" s="935"/>
      <c r="AF224" s="135"/>
      <c r="AG224" s="555"/>
      <c r="AH224" s="74">
        <f t="shared" si="24"/>
        <v>0</v>
      </c>
      <c r="AI224" s="75"/>
      <c r="AJ224" s="276"/>
      <c r="AK224" s="77"/>
      <c r="AL224" s="77"/>
      <c r="AM224" s="74">
        <f t="shared" si="31"/>
        <v>0</v>
      </c>
      <c r="AN224" s="75" t="str">
        <f t="shared" si="32"/>
        <v/>
      </c>
      <c r="AO224" s="78"/>
      <c r="AP224" s="74"/>
      <c r="AQ224" s="256"/>
      <c r="AR224" s="74"/>
      <c r="AS224" s="66"/>
      <c r="AT224" s="247"/>
      <c r="AU224" s="247"/>
      <c r="AV224" s="68"/>
      <c r="AW224" s="68"/>
      <c r="AX224" s="258"/>
      <c r="AY224" s="448"/>
      <c r="AZ224" s="311" t="str">
        <f>IF(AP224&lt;1,"-",AP224-Y224)</f>
        <v>-</v>
      </c>
      <c r="BA224" s="64" t="str">
        <f t="shared" si="26"/>
        <v>-</v>
      </c>
      <c r="BB224" s="64" t="str">
        <f>IF(AZ224="-","-",AZ224-H224)</f>
        <v>-</v>
      </c>
      <c r="BC224" s="312" t="str">
        <f>IF(AZ224="-","-",AZ224/H224)</f>
        <v>-</v>
      </c>
      <c r="BD224" s="516">
        <f>IF(AP224&lt;1,IF($B$2&gt;=A224,($A$2-A224+1)*-1*H224,"-"),AZ224*($A$2-AO224+1)-H224*($A$2-A224+1))</f>
        <v>0</v>
      </c>
      <c r="BE224" s="927"/>
      <c r="BF224" s="748"/>
      <c r="BG224" s="90"/>
      <c r="BH224" s="91"/>
      <c r="BI224" s="91"/>
      <c r="BJ224" s="91"/>
      <c r="BK224" s="91"/>
      <c r="BL224" s="91"/>
      <c r="BM224" s="91"/>
      <c r="BN224" s="91" t="str">
        <f t="shared" si="28"/>
        <v>-</v>
      </c>
      <c r="BO224" s="91" t="str">
        <f t="shared" si="28"/>
        <v>-</v>
      </c>
      <c r="BP224" s="94" t="str">
        <f>IF(BN224="-","-",AZ224+BN224)</f>
        <v>-</v>
      </c>
      <c r="BQ224" s="95" t="str">
        <f>IF(BN224="-","-",(($B$2-AO224+1)*(AZ224+BN224)))</f>
        <v>-</v>
      </c>
      <c r="BR224" s="130"/>
      <c r="BS224" s="214"/>
      <c r="BT224" s="131"/>
      <c r="BU224" s="215"/>
      <c r="BV224" s="99" t="str">
        <f>IF(AO224&lt;1,"",(AO224))</f>
        <v/>
      </c>
      <c r="BW224" s="284"/>
      <c r="BX224" s="214"/>
      <c r="BY224" s="214"/>
      <c r="BZ224" s="101"/>
      <c r="CA224" s="102"/>
      <c r="CB224" s="103"/>
      <c r="CC224" s="104"/>
      <c r="CD224" s="105"/>
      <c r="CE224" s="627"/>
      <c r="CF224" s="107"/>
      <c r="CG224" s="108"/>
      <c r="CH224" s="726"/>
      <c r="CI224" s="912" t="s">
        <v>130</v>
      </c>
      <c r="CJ224" s="715"/>
      <c r="CK224" s="932">
        <f t="shared" si="36"/>
        <v>0</v>
      </c>
    </row>
    <row r="225" spans="1:89" ht="33" hidden="1" customHeight="1" outlineLevel="1">
      <c r="A225" s="59"/>
      <c r="B225" s="505"/>
      <c r="C225" s="505"/>
      <c r="D225" s="62"/>
      <c r="E225" s="62"/>
      <c r="F225" s="936"/>
      <c r="G225" s="80"/>
      <c r="H225" s="80"/>
      <c r="I225" s="80"/>
      <c r="J225" s="80"/>
      <c r="K225" s="66"/>
      <c r="L225" s="80"/>
      <c r="M225" s="63"/>
      <c r="N225" s="71"/>
      <c r="O225" s="71"/>
      <c r="P225" s="71"/>
      <c r="Q225" s="71"/>
      <c r="R225" s="71"/>
      <c r="S225" s="273"/>
      <c r="T225" s="63"/>
      <c r="U225" s="71"/>
      <c r="V225" s="287"/>
      <c r="W225" s="71"/>
      <c r="X225" s="71"/>
      <c r="Y225" s="63"/>
      <c r="Z225" s="71"/>
      <c r="AA225" s="287"/>
      <c r="AB225" s="71"/>
      <c r="AC225" s="72"/>
      <c r="AD225" s="274" t="s">
        <v>129</v>
      </c>
      <c r="AE225" s="935"/>
      <c r="AF225" s="135"/>
      <c r="AG225" s="555"/>
      <c r="AH225" s="74">
        <f t="shared" si="24"/>
        <v>0</v>
      </c>
      <c r="AI225" s="75"/>
      <c r="AJ225" s="276"/>
      <c r="AK225" s="77"/>
      <c r="AL225" s="77"/>
      <c r="AM225" s="74">
        <f t="shared" si="31"/>
        <v>0</v>
      </c>
      <c r="AN225" s="75" t="str">
        <f t="shared" si="32"/>
        <v/>
      </c>
      <c r="AO225" s="78"/>
      <c r="AP225" s="74"/>
      <c r="AQ225" s="256"/>
      <c r="AR225" s="74"/>
      <c r="AS225" s="66"/>
      <c r="AT225" s="247"/>
      <c r="AU225" s="247"/>
      <c r="AV225" s="68"/>
      <c r="AW225" s="68"/>
      <c r="AX225" s="258"/>
      <c r="AY225" s="448"/>
      <c r="AZ225" s="311" t="str">
        <f>IF(AP225&lt;1,"-",AP225-Y225)</f>
        <v>-</v>
      </c>
      <c r="BA225" s="64" t="str">
        <f t="shared" si="26"/>
        <v>-</v>
      </c>
      <c r="BB225" s="64" t="str">
        <f>IF(AZ225="-","-",AZ225-H225)</f>
        <v>-</v>
      </c>
      <c r="BC225" s="312" t="str">
        <f>IF(AZ225="-","-",AZ225/H225)</f>
        <v>-</v>
      </c>
      <c r="BD225" s="516">
        <f>IF(AP225&lt;1,IF($B$2&gt;=A225,($A$2-A225+1)*-1*H225,"-"),AZ225*($A$2-AO225+1)-H225*($A$2-A225+1))</f>
        <v>0</v>
      </c>
      <c r="BE225" s="927"/>
      <c r="BF225" s="748"/>
      <c r="BG225" s="90"/>
      <c r="BH225" s="91"/>
      <c r="BI225" s="91"/>
      <c r="BJ225" s="91"/>
      <c r="BK225" s="91"/>
      <c r="BL225" s="91"/>
      <c r="BM225" s="91"/>
      <c r="BN225" s="91" t="str">
        <f t="shared" si="28"/>
        <v>-</v>
      </c>
      <c r="BO225" s="91" t="str">
        <f t="shared" si="28"/>
        <v>-</v>
      </c>
      <c r="BP225" s="94" t="str">
        <f>IF(BN225="-","-",AZ225+BN225)</f>
        <v>-</v>
      </c>
      <c r="BQ225" s="95" t="str">
        <f>IF(BN225="-","-",(($B$2-AO225+1)*(AZ225+BN225)))</f>
        <v>-</v>
      </c>
      <c r="BR225" s="130"/>
      <c r="BS225" s="214"/>
      <c r="BT225" s="131"/>
      <c r="BU225" s="215"/>
      <c r="BV225" s="99" t="str">
        <f>IF(AO225&lt;1,"",(AO225))</f>
        <v/>
      </c>
      <c r="BW225" s="284"/>
      <c r="BX225" s="214"/>
      <c r="BY225" s="214"/>
      <c r="BZ225" s="101"/>
      <c r="CA225" s="102"/>
      <c r="CB225" s="103"/>
      <c r="CC225" s="104"/>
      <c r="CD225" s="105"/>
      <c r="CE225" s="627"/>
      <c r="CF225" s="107"/>
      <c r="CG225" s="108"/>
      <c r="CH225" s="726"/>
      <c r="CI225" s="912" t="s">
        <v>130</v>
      </c>
      <c r="CJ225" s="715"/>
      <c r="CK225" s="932">
        <f t="shared" si="36"/>
        <v>0</v>
      </c>
    </row>
    <row r="226" spans="1:89" ht="33" hidden="1" customHeight="1" outlineLevel="1">
      <c r="A226" s="59"/>
      <c r="B226" s="505"/>
      <c r="C226" s="505"/>
      <c r="D226" s="62"/>
      <c r="E226" s="914"/>
      <c r="F226" s="936"/>
      <c r="G226" s="80"/>
      <c r="H226" s="80"/>
      <c r="I226" s="80"/>
      <c r="J226" s="80"/>
      <c r="K226" s="66"/>
      <c r="L226" s="80"/>
      <c r="M226" s="63"/>
      <c r="N226" s="71"/>
      <c r="O226" s="71"/>
      <c r="P226" s="71"/>
      <c r="Q226" s="71"/>
      <c r="R226" s="71"/>
      <c r="S226" s="273"/>
      <c r="T226" s="63"/>
      <c r="U226" s="71"/>
      <c r="V226" s="287"/>
      <c r="W226" s="71"/>
      <c r="X226" s="71"/>
      <c r="Y226" s="63"/>
      <c r="Z226" s="71"/>
      <c r="AA226" s="287"/>
      <c r="AB226" s="71"/>
      <c r="AC226" s="72"/>
      <c r="AD226" s="274" t="s">
        <v>129</v>
      </c>
      <c r="AE226" s="935"/>
      <c r="AF226" s="135"/>
      <c r="AG226" s="555"/>
      <c r="AH226" s="74">
        <f t="shared" si="24"/>
        <v>0</v>
      </c>
      <c r="AI226" s="75"/>
      <c r="AJ226" s="276"/>
      <c r="AK226" s="77"/>
      <c r="AL226" s="77"/>
      <c r="AM226" s="74">
        <f t="shared" si="31"/>
        <v>0</v>
      </c>
      <c r="AN226" s="75" t="str">
        <f t="shared" si="32"/>
        <v/>
      </c>
      <c r="AO226" s="78"/>
      <c r="AP226" s="74"/>
      <c r="AQ226" s="256"/>
      <c r="AR226" s="74"/>
      <c r="AS226" s="66"/>
      <c r="AT226" s="247"/>
      <c r="AU226" s="247"/>
      <c r="AV226" s="68"/>
      <c r="AW226" s="68"/>
      <c r="AX226" s="258"/>
      <c r="AY226" s="448"/>
      <c r="AZ226" s="311" t="str">
        <f>IF(AP226&lt;1,"-",AP226-Y226)</f>
        <v>-</v>
      </c>
      <c r="BA226" s="64" t="str">
        <f t="shared" si="26"/>
        <v>-</v>
      </c>
      <c r="BB226" s="64" t="str">
        <f>IF(AZ226="-","-",AZ226-H226)</f>
        <v>-</v>
      </c>
      <c r="BC226" s="312" t="str">
        <f>IF(AZ226="-","-",AZ226/H226)</f>
        <v>-</v>
      </c>
      <c r="BD226" s="516">
        <f>IF(AP226&lt;1,IF($B$2&gt;=A226,($A$2-A226+1)*-1*H226,"-"),AZ226*($A$2-AO226+1)-H226*($A$2-A226+1))</f>
        <v>0</v>
      </c>
      <c r="BE226" s="927"/>
      <c r="BF226" s="748"/>
      <c r="BG226" s="90"/>
      <c r="BH226" s="91"/>
      <c r="BI226" s="91"/>
      <c r="BJ226" s="91"/>
      <c r="BK226" s="91"/>
      <c r="BL226" s="91"/>
      <c r="BM226" s="91"/>
      <c r="BN226" s="91" t="str">
        <f t="shared" si="28"/>
        <v>-</v>
      </c>
      <c r="BO226" s="91" t="str">
        <f t="shared" si="28"/>
        <v>-</v>
      </c>
      <c r="BP226" s="94" t="str">
        <f>IF(BN226="-","-",AZ226+BN226)</f>
        <v>-</v>
      </c>
      <c r="BQ226" s="95" t="str">
        <f>IF(BN226="-","-",(($B$2-AO226+1)*(AZ226+BN226)))</f>
        <v>-</v>
      </c>
      <c r="BR226" s="130"/>
      <c r="BS226" s="214" t="str">
        <f>AN226</f>
        <v/>
      </c>
      <c r="BT226" s="131"/>
      <c r="BU226" s="215"/>
      <c r="BV226" s="99" t="str">
        <f>IF(AO226&lt;1,"",(AO226))</f>
        <v/>
      </c>
      <c r="BW226" s="284"/>
      <c r="BX226" s="214"/>
      <c r="BY226" s="214"/>
      <c r="BZ226" s="101"/>
      <c r="CA226" s="102"/>
      <c r="CB226" s="103"/>
      <c r="CC226" s="104"/>
      <c r="CD226" s="105"/>
      <c r="CE226" s="627"/>
      <c r="CF226" s="107"/>
      <c r="CG226" s="108"/>
      <c r="CH226" s="726"/>
      <c r="CI226" s="912" t="s">
        <v>130</v>
      </c>
      <c r="CJ226" s="715"/>
      <c r="CK226" s="932">
        <f t="shared" si="36"/>
        <v>0</v>
      </c>
    </row>
    <row r="227" spans="1:89" ht="33" hidden="1" customHeight="1" outlineLevel="1">
      <c r="A227" s="59"/>
      <c r="B227" s="505"/>
      <c r="C227" s="505"/>
      <c r="D227" s="62"/>
      <c r="E227" s="914"/>
      <c r="F227" s="936"/>
      <c r="G227" s="80"/>
      <c r="H227" s="80"/>
      <c r="I227" s="80"/>
      <c r="J227" s="80"/>
      <c r="K227" s="66"/>
      <c r="L227" s="80"/>
      <c r="M227" s="63"/>
      <c r="N227" s="71"/>
      <c r="O227" s="71"/>
      <c r="P227" s="71"/>
      <c r="Q227" s="71"/>
      <c r="R227" s="71"/>
      <c r="S227" s="273"/>
      <c r="T227" s="63"/>
      <c r="U227" s="71"/>
      <c r="V227" s="287"/>
      <c r="W227" s="71"/>
      <c r="X227" s="71"/>
      <c r="Y227" s="63"/>
      <c r="Z227" s="71"/>
      <c r="AA227" s="287"/>
      <c r="AB227" s="71"/>
      <c r="AC227" s="72"/>
      <c r="AD227" s="274" t="s">
        <v>129</v>
      </c>
      <c r="AE227" s="935"/>
      <c r="AF227" s="135"/>
      <c r="AG227" s="555"/>
      <c r="AH227" s="74">
        <f t="shared" si="24"/>
        <v>0</v>
      </c>
      <c r="AI227" s="75"/>
      <c r="AJ227" s="276"/>
      <c r="AK227" s="77"/>
      <c r="AL227" s="77"/>
      <c r="AM227" s="74">
        <f t="shared" si="31"/>
        <v>0</v>
      </c>
      <c r="AN227" s="75" t="str">
        <f t="shared" si="32"/>
        <v/>
      </c>
      <c r="AO227" s="78"/>
      <c r="AP227" s="74"/>
      <c r="AQ227" s="256"/>
      <c r="AR227" s="74"/>
      <c r="AS227" s="66"/>
      <c r="AT227" s="247"/>
      <c r="AU227" s="247"/>
      <c r="AV227" s="68"/>
      <c r="AW227" s="68"/>
      <c r="AX227" s="258"/>
      <c r="AY227" s="448"/>
      <c r="AZ227" s="311" t="str">
        <f>IF(AP227&lt;1,"-",AP227-Y227)</f>
        <v>-</v>
      </c>
      <c r="BA227" s="64" t="str">
        <f t="shared" si="26"/>
        <v>-</v>
      </c>
      <c r="BB227" s="64" t="str">
        <f>IF(AZ227="-","-",AZ227-H227)</f>
        <v>-</v>
      </c>
      <c r="BC227" s="312" t="str">
        <f>IF(AZ227="-","-",AZ227/H227)</f>
        <v>-</v>
      </c>
      <c r="BD227" s="516">
        <f>IF(AP227&lt;1,IF($B$2&gt;=A227,($A$2-A227+1)*-1*H227,"-"),AZ227*($A$2-AO227+1)-H227*($A$2-A227+1))</f>
        <v>0</v>
      </c>
      <c r="BE227" s="927"/>
      <c r="BF227" s="748"/>
      <c r="BG227" s="90"/>
      <c r="BH227" s="91"/>
      <c r="BI227" s="91"/>
      <c r="BJ227" s="91"/>
      <c r="BK227" s="91"/>
      <c r="BL227" s="91"/>
      <c r="BM227" s="91"/>
      <c r="BN227" s="91" t="str">
        <f t="shared" si="28"/>
        <v>-</v>
      </c>
      <c r="BO227" s="91" t="str">
        <f t="shared" si="28"/>
        <v>-</v>
      </c>
      <c r="BP227" s="94" t="str">
        <f>IF(BN227="-","-",AZ227+BN227)</f>
        <v>-</v>
      </c>
      <c r="BQ227" s="95" t="str">
        <f>IF(BN227="-","-",(($B$2-AO227+1)*(AZ227+BN227)))</f>
        <v>-</v>
      </c>
      <c r="BR227" s="130"/>
      <c r="BS227" s="214" t="str">
        <f>AN227</f>
        <v/>
      </c>
      <c r="BT227" s="131"/>
      <c r="BU227" s="215"/>
      <c r="BV227" s="99" t="str">
        <f>IF(AO227&lt;1,"",(AO227))</f>
        <v/>
      </c>
      <c r="BW227" s="284"/>
      <c r="BX227" s="214"/>
      <c r="BY227" s="214"/>
      <c r="BZ227" s="101"/>
      <c r="CA227" s="102"/>
      <c r="CB227" s="103"/>
      <c r="CC227" s="104"/>
      <c r="CD227" s="105"/>
      <c r="CE227" s="627"/>
      <c r="CF227" s="107"/>
      <c r="CG227" s="108"/>
      <c r="CH227" s="726"/>
      <c r="CI227" s="912" t="s">
        <v>130</v>
      </c>
      <c r="CJ227" s="715"/>
      <c r="CK227" s="932">
        <f t="shared" si="36"/>
        <v>0</v>
      </c>
    </row>
    <row r="228" spans="1:89" ht="33" hidden="1" customHeight="1" outlineLevel="1">
      <c r="A228" s="484"/>
      <c r="B228" s="937"/>
      <c r="C228" s="270"/>
      <c r="D228" s="62"/>
      <c r="E228" s="914"/>
      <c r="F228" s="915"/>
      <c r="G228" s="80"/>
      <c r="H228" s="80"/>
      <c r="I228" s="80"/>
      <c r="J228" s="80"/>
      <c r="K228" s="66"/>
      <c r="L228" s="285"/>
      <c r="M228" s="63"/>
      <c r="N228" s="71"/>
      <c r="O228" s="71"/>
      <c r="P228" s="71"/>
      <c r="Q228" s="71"/>
      <c r="R228" s="71"/>
      <c r="S228" s="273"/>
      <c r="T228" s="63"/>
      <c r="U228" s="71"/>
      <c r="V228" s="287"/>
      <c r="W228" s="71"/>
      <c r="X228" s="71"/>
      <c r="Y228" s="938"/>
      <c r="Z228" s="71"/>
      <c r="AA228" s="287"/>
      <c r="AB228" s="71"/>
      <c r="AC228" s="72"/>
      <c r="AD228" s="274"/>
      <c r="AE228" s="906"/>
      <c r="AF228" s="135"/>
      <c r="AG228" s="555"/>
      <c r="AH228" s="939"/>
      <c r="AI228" s="940"/>
      <c r="AJ228" s="941"/>
      <c r="AK228" s="942"/>
      <c r="AL228" s="943"/>
      <c r="AM228" s="74"/>
      <c r="AN228" s="75" t="str">
        <f t="shared" si="32"/>
        <v/>
      </c>
      <c r="AO228" s="944"/>
      <c r="AP228" s="945"/>
      <c r="AQ228" s="256"/>
      <c r="AR228" s="74"/>
      <c r="AS228" s="66"/>
      <c r="AT228" s="247"/>
      <c r="AU228" s="247"/>
      <c r="AV228" s="68"/>
      <c r="AW228" s="68"/>
      <c r="AX228" s="258"/>
      <c r="AY228" s="448"/>
      <c r="AZ228" s="84" t="str">
        <f t="shared" si="25"/>
        <v>-</v>
      </c>
      <c r="BA228" s="64" t="str">
        <f t="shared" si="26"/>
        <v>-</v>
      </c>
      <c r="BB228" s="64" t="str">
        <f t="shared" si="27"/>
        <v>-</v>
      </c>
      <c r="BC228" s="515" t="str">
        <f t="shared" si="33"/>
        <v>-</v>
      </c>
      <c r="BD228" s="516">
        <f t="shared" si="34"/>
        <v>0</v>
      </c>
      <c r="BE228" s="927"/>
      <c r="BF228" s="748"/>
      <c r="BG228" s="90"/>
      <c r="BH228" s="91"/>
      <c r="BI228" s="91"/>
      <c r="BJ228" s="91"/>
      <c r="BK228" s="91"/>
      <c r="BL228" s="91"/>
      <c r="BM228" s="91"/>
      <c r="BN228" s="91" t="str">
        <f t="shared" si="28"/>
        <v>-</v>
      </c>
      <c r="BO228" s="91"/>
      <c r="BP228" s="94" t="str">
        <f t="shared" si="29"/>
        <v>-</v>
      </c>
      <c r="BQ228" s="95" t="str">
        <f t="shared" si="30"/>
        <v>-</v>
      </c>
      <c r="BR228" s="130"/>
      <c r="BS228" s="214" t="str">
        <f>AN228</f>
        <v/>
      </c>
      <c r="BT228" s="131"/>
      <c r="BU228" s="215"/>
      <c r="BV228" s="99" t="str">
        <f t="shared" si="35"/>
        <v/>
      </c>
      <c r="BW228" s="284"/>
      <c r="BX228" s="214"/>
      <c r="BY228" s="214"/>
      <c r="BZ228" s="101"/>
      <c r="CA228" s="102"/>
      <c r="CB228" s="103"/>
      <c r="CC228" s="104"/>
      <c r="CD228" s="105"/>
      <c r="CE228" s="627"/>
      <c r="CF228" s="107"/>
      <c r="CG228" s="108"/>
      <c r="CH228" s="726"/>
      <c r="CI228" s="912" t="s">
        <v>130</v>
      </c>
      <c r="CJ228" s="715"/>
      <c r="CK228" s="602"/>
    </row>
    <row r="229" spans="1:89" ht="33" hidden="1" customHeight="1" outlineLevel="1" collapsed="1">
      <c r="A229" s="325" t="s">
        <v>91</v>
      </c>
      <c r="B229" s="149">
        <f>COUNTIF(A217:A228,$B$1)</f>
        <v>0</v>
      </c>
      <c r="C229" s="327"/>
      <c r="D229" s="328"/>
      <c r="E229" s="328"/>
      <c r="F229" s="328"/>
      <c r="G229" s="329"/>
      <c r="H229" s="152">
        <f>SUMIF(A205:A211,$B$1,H205:H211)</f>
        <v>0</v>
      </c>
      <c r="I229" s="329"/>
      <c r="J229" s="329"/>
      <c r="K229" s="329"/>
      <c r="L229" s="153">
        <f>SUMIF(A205:A211,$B$1,L205:L211)</f>
        <v>0</v>
      </c>
      <c r="M229" s="329"/>
      <c r="N229" s="329"/>
      <c r="O229" s="329"/>
      <c r="P229" s="329"/>
      <c r="Q229" s="329"/>
      <c r="R229" s="329"/>
      <c r="S229" s="329"/>
      <c r="T229" s="329"/>
      <c r="U229" s="329"/>
      <c r="V229" s="328"/>
      <c r="W229" s="328"/>
      <c r="X229" s="328"/>
      <c r="Y229" s="329"/>
      <c r="Z229" s="329"/>
      <c r="AA229" s="328"/>
      <c r="AB229" s="328"/>
      <c r="AC229" s="328"/>
      <c r="AD229" s="328"/>
      <c r="AE229" s="331"/>
      <c r="AF229" s="332"/>
      <c r="AG229" s="333"/>
      <c r="AH229" s="329"/>
      <c r="AI229" s="334"/>
      <c r="AJ229" s="335"/>
      <c r="AK229" s="333"/>
      <c r="AL229" s="333"/>
      <c r="AM229" s="329"/>
      <c r="AN229" s="334"/>
      <c r="AO229" s="336">
        <f>COUNTA(AO217:AO228)</f>
        <v>0</v>
      </c>
      <c r="AP229" s="546">
        <f>SUM(AP217:AP228)</f>
        <v>0</v>
      </c>
      <c r="AQ229" s="152">
        <f>SUM(AQ217:AQ228)</f>
        <v>0</v>
      </c>
      <c r="AR229" s="337"/>
      <c r="AS229" s="328"/>
      <c r="AT229" s="328"/>
      <c r="AU229" s="328"/>
      <c r="AV229" s="328"/>
      <c r="AW229" s="328"/>
      <c r="AX229" s="328"/>
      <c r="AY229" s="328"/>
      <c r="AZ229" s="338">
        <f>SUM(AZ217:AZ228)</f>
        <v>0</v>
      </c>
      <c r="BA229" s="338">
        <f>SUM(BA217:BA228)</f>
        <v>0</v>
      </c>
      <c r="BB229" s="338">
        <f>SUM(BB217:BB228)</f>
        <v>0</v>
      </c>
      <c r="BC229" s="221" t="str">
        <f>IF(COUNT(BC217:BC228)=0,"-",AVERAGE(BC217:BC228))</f>
        <v>-</v>
      </c>
      <c r="BD229" s="339"/>
      <c r="BE229" s="165"/>
      <c r="BF229" s="341"/>
      <c r="BG229" s="341"/>
      <c r="BH229" s="895"/>
      <c r="BI229" s="895"/>
      <c r="BJ229" s="895"/>
      <c r="BK229" s="895"/>
      <c r="BL229" s="895"/>
      <c r="BM229" s="895"/>
      <c r="BN229" s="895"/>
      <c r="BO229" s="895"/>
      <c r="BP229" s="163">
        <f>SUM(BP212:BP216)</f>
        <v>0</v>
      </c>
      <c r="BQ229" s="163">
        <f>SUM(BQ212:BQ216)</f>
        <v>0</v>
      </c>
      <c r="BR229" s="708"/>
      <c r="BS229" s="802">
        <f>SUM(BS205:BS213,BS217:BS228)</f>
        <v>0</v>
      </c>
      <c r="BT229" s="709"/>
      <c r="BU229" s="711">
        <f>SUM(BU205:BU213,BU217:BU228)</f>
        <v>0</v>
      </c>
      <c r="BV229" s="712"/>
      <c r="BW229" s="708">
        <f>COUNTA(BW205:BW216)</f>
        <v>0</v>
      </c>
      <c r="BX229" s="802">
        <f>SUM(BX205:BX216)</f>
        <v>0</v>
      </c>
      <c r="BY229" s="803">
        <f>SUM(BY205:BY216)</f>
        <v>0</v>
      </c>
      <c r="BZ229" s="946"/>
      <c r="CA229" s="172"/>
      <c r="CB229" s="947">
        <f>AO229</f>
        <v>0</v>
      </c>
      <c r="CC229" s="947">
        <f>COUNTIF(CC217:CC228,"=0")</f>
        <v>0</v>
      </c>
      <c r="CD229" s="948">
        <f>SUM(COUNTIF(CC205:CC211,"&lt;0"),COUNTIF(CC205:CC211,"&gt;0"))</f>
        <v>0</v>
      </c>
      <c r="CE229" s="949">
        <f>COUNTIF(CE212:CE213,"1")</f>
        <v>0</v>
      </c>
      <c r="CF229" s="950">
        <f>SUM(CF212:CF213)</f>
        <v>0</v>
      </c>
      <c r="CG229" s="951">
        <f>COUNTIF(CG212:CG216,"1")</f>
        <v>0</v>
      </c>
      <c r="CH229" s="952">
        <f>SUM(CH212:CH216)</f>
        <v>0</v>
      </c>
      <c r="CI229" s="953"/>
      <c r="CJ229" s="715"/>
    </row>
    <row r="230" spans="1:89" ht="33" hidden="1" customHeight="1" outlineLevel="1">
      <c r="A230" s="179" t="s">
        <v>89</v>
      </c>
      <c r="B230" s="348">
        <f>COUNT(A217:A228)</f>
        <v>0</v>
      </c>
      <c r="C230" s="181"/>
      <c r="D230" s="182"/>
      <c r="E230" s="182"/>
      <c r="F230" s="182"/>
      <c r="G230" s="184"/>
      <c r="H230" s="184">
        <f>SUM(H229,H215)</f>
        <v>0</v>
      </c>
      <c r="I230" s="184">
        <f>SUM(I229,I214)</f>
        <v>0</v>
      </c>
      <c r="J230" s="184">
        <f>SUM(J229,J215)</f>
        <v>0</v>
      </c>
      <c r="K230" s="184"/>
      <c r="L230" s="184"/>
      <c r="M230" s="184"/>
      <c r="N230" s="184"/>
      <c r="O230" s="184"/>
      <c r="P230" s="184"/>
      <c r="Q230" s="184"/>
      <c r="R230" s="184"/>
      <c r="S230" s="185"/>
      <c r="T230" s="183"/>
      <c r="U230" s="185"/>
      <c r="V230" s="182"/>
      <c r="W230" s="182"/>
      <c r="X230" s="182"/>
      <c r="Y230" s="183"/>
      <c r="Z230" s="185"/>
      <c r="AA230" s="182"/>
      <c r="AB230" s="182"/>
      <c r="AC230" s="182"/>
      <c r="AD230" s="182"/>
      <c r="AE230" s="186"/>
      <c r="AF230" s="186"/>
      <c r="AG230" s="186"/>
      <c r="AH230" s="184"/>
      <c r="AI230" s="184"/>
      <c r="AJ230" s="186"/>
      <c r="AK230" s="186"/>
      <c r="AL230" s="186"/>
      <c r="AM230" s="184"/>
      <c r="AN230" s="184"/>
      <c r="AO230" s="182">
        <f>SUM(AO229,AO214)</f>
        <v>0</v>
      </c>
      <c r="AP230" s="184">
        <f>SUM(AP229,AP214)</f>
        <v>0</v>
      </c>
      <c r="AQ230" s="182"/>
      <c r="AR230" s="187"/>
      <c r="AS230" s="182"/>
      <c r="AT230" s="182"/>
      <c r="AU230" s="182"/>
      <c r="AV230" s="182"/>
      <c r="AW230" s="182"/>
      <c r="AX230" s="182"/>
      <c r="AY230" s="182"/>
      <c r="AZ230" s="188">
        <f>SUM(AZ229,AZ214)</f>
        <v>0</v>
      </c>
      <c r="BA230" s="188">
        <f>SUM(BA229,BA214)</f>
        <v>0</v>
      </c>
      <c r="BB230" s="188">
        <f>SUM(BB229,BB214)</f>
        <v>0</v>
      </c>
      <c r="BC230" s="229" t="str">
        <f>IF(COUNT(BC205:BC213,BC217:BC228)=0,"-",AVERAGE(BC205:BC213,BC217:BC228))</f>
        <v>-</v>
      </c>
      <c r="BD230" s="188">
        <f>+BD215</f>
        <v>0</v>
      </c>
      <c r="BE230" s="476"/>
      <c r="BF230" s="350"/>
      <c r="BG230" s="350"/>
      <c r="BH230" s="350"/>
      <c r="BI230" s="350"/>
      <c r="BJ230" s="350"/>
      <c r="BK230" s="350"/>
      <c r="BL230" s="350"/>
      <c r="BM230" s="350"/>
      <c r="BN230" s="350"/>
      <c r="BO230" s="350"/>
      <c r="BP230" s="350"/>
      <c r="BQ230" s="350"/>
      <c r="BR230" s="954"/>
      <c r="BS230" s="955"/>
      <c r="BT230" s="955"/>
      <c r="BU230" s="955"/>
      <c r="BV230" s="956">
        <f>SUMIF(BV205:BV228,"",BU205:BU228)</f>
        <v>0</v>
      </c>
      <c r="BW230" s="957"/>
      <c r="BX230" s="958"/>
      <c r="BY230" s="958"/>
      <c r="BZ230" s="959"/>
      <c r="CA230" s="960"/>
      <c r="CB230" s="961">
        <f>SUM(CB217:CB228)</f>
        <v>0</v>
      </c>
      <c r="CC230" s="961">
        <f>SUMIF(CC217:CC228,"=0",CD217:CD228)</f>
        <v>0</v>
      </c>
      <c r="CD230" s="962">
        <f>SUMIF(CC217:CC228,"&lt;&gt;0",CD217:CD228)</f>
        <v>0</v>
      </c>
      <c r="CE230" s="961"/>
      <c r="CF230" s="961"/>
      <c r="CG230" s="961"/>
      <c r="CH230" s="961"/>
      <c r="CI230" s="963"/>
      <c r="CJ230" s="715"/>
    </row>
    <row r="231" spans="1:89" ht="33" hidden="1" customHeight="1" outlineLevel="1" collapsed="1">
      <c r="A231" s="2144" t="s">
        <v>92</v>
      </c>
      <c r="B231" s="2144"/>
      <c r="C231" s="2144"/>
      <c r="D231" s="2144"/>
      <c r="E231" s="2144"/>
      <c r="F231" s="2144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44"/>
      <c r="Y231" s="44"/>
      <c r="Z231" s="44"/>
      <c r="AA231" s="44"/>
      <c r="AB231" s="44"/>
      <c r="AC231" s="44"/>
      <c r="AD231" s="43"/>
      <c r="AE231" s="43"/>
      <c r="AF231" s="44"/>
      <c r="AG231" s="44"/>
      <c r="AH231" s="44"/>
      <c r="AI231" s="44"/>
      <c r="AJ231" s="44"/>
      <c r="AK231" s="44"/>
      <c r="AL231" s="44"/>
      <c r="AM231" s="44"/>
      <c r="AN231" s="44"/>
      <c r="AO231" s="44"/>
      <c r="AP231" s="44"/>
      <c r="AQ231" s="44"/>
      <c r="AR231" s="44"/>
      <c r="AS231" s="44"/>
      <c r="AT231" s="44"/>
      <c r="AU231" s="44"/>
      <c r="AV231" s="44"/>
      <c r="AW231" s="44"/>
      <c r="AX231" s="44"/>
      <c r="AY231" s="44"/>
      <c r="AZ231" s="44"/>
      <c r="BA231" s="44"/>
      <c r="BB231" s="44"/>
      <c r="BC231" s="44"/>
      <c r="BD231" s="45"/>
      <c r="BE231" s="45"/>
      <c r="BF231" s="46"/>
      <c r="BG231" s="46"/>
      <c r="BH231" s="46"/>
      <c r="BI231" s="46"/>
      <c r="BJ231" s="46"/>
      <c r="BK231" s="46"/>
      <c r="BL231" s="46"/>
      <c r="BM231" s="46"/>
      <c r="BN231" s="46"/>
      <c r="BO231" s="46"/>
      <c r="BP231" s="46"/>
      <c r="BQ231" s="495"/>
      <c r="BR231" s="610"/>
      <c r="BS231" s="610"/>
      <c r="BT231" s="610"/>
      <c r="BU231" s="554"/>
      <c r="BV231" s="610"/>
      <c r="BW231" s="610"/>
      <c r="BX231" s="610"/>
      <c r="BY231" s="610"/>
      <c r="BZ231" s="52"/>
      <c r="CA231" s="53"/>
      <c r="CB231" s="53"/>
      <c r="CC231" s="53"/>
      <c r="CD231" s="206"/>
      <c r="CE231" s="365"/>
      <c r="CF231" s="365"/>
      <c r="CG231" s="365"/>
      <c r="CH231" s="365"/>
      <c r="CI231" s="369"/>
      <c r="CJ231" s="715"/>
    </row>
    <row r="232" spans="1:89" ht="33" hidden="1" customHeight="1" outlineLevel="1">
      <c r="A232" s="59">
        <f>DAY(AG232)</f>
        <v>0</v>
      </c>
      <c r="B232" s="247"/>
      <c r="C232" s="247"/>
      <c r="D232" s="612"/>
      <c r="E232" s="62"/>
      <c r="F232" s="247"/>
      <c r="G232" s="80">
        <f>M232-T232</f>
        <v>0</v>
      </c>
      <c r="H232" s="80">
        <f>M232-T232</f>
        <v>0</v>
      </c>
      <c r="I232" s="80">
        <f>IF($B$2&gt;=A232,($B$2-A232+1)*H232,"-")</f>
        <v>0</v>
      </c>
      <c r="J232" s="80">
        <f>($A$2-A232+1)*H232</f>
        <v>0</v>
      </c>
      <c r="K232" s="271"/>
      <c r="L232" s="80">
        <f t="shared" ref="L232:L240" ca="1" si="37">IF((AE232)&lt;$L$2-DAY($L$2)+1,H232,H232+T232)</f>
        <v>0</v>
      </c>
      <c r="M232" s="68"/>
      <c r="N232" s="68"/>
      <c r="O232" s="372"/>
      <c r="P232" s="70"/>
      <c r="Q232" s="70"/>
      <c r="R232" s="70"/>
      <c r="S232" s="66"/>
      <c r="T232" s="64"/>
      <c r="U232" s="70"/>
      <c r="V232" s="372"/>
      <c r="W232" s="70"/>
      <c r="X232" s="70"/>
      <c r="Y232" s="64"/>
      <c r="Z232" s="70"/>
      <c r="AA232" s="372"/>
      <c r="AB232" s="70"/>
      <c r="AC232" s="251"/>
      <c r="AD232" s="274"/>
      <c r="AE232" s="319"/>
      <c r="AF232" s="288"/>
      <c r="AG232" s="454"/>
      <c r="AH232" s="74"/>
      <c r="AI232" s="75" t="str">
        <f>IF(T232="","",AH232*T232)</f>
        <v/>
      </c>
      <c r="AJ232" s="276"/>
      <c r="AK232" s="276"/>
      <c r="AL232" s="288">
        <f>AK232</f>
        <v>0</v>
      </c>
      <c r="AM232" s="74">
        <f>IF(AJ232="переход","",AL232-AJ232)</f>
        <v>0</v>
      </c>
      <c r="AN232" s="75" t="str">
        <f>IF(Y232="","",AM232*Y232)</f>
        <v/>
      </c>
      <c r="AO232" s="78">
        <f>DAY(AL232)</f>
        <v>0</v>
      </c>
      <c r="AP232" s="74"/>
      <c r="AQ232" s="256"/>
      <c r="AR232" s="257"/>
      <c r="AS232" s="80"/>
      <c r="AT232" s="247"/>
      <c r="AU232" s="68"/>
      <c r="AV232" s="68"/>
      <c r="AW232" s="68"/>
      <c r="AX232" s="258"/>
      <c r="AY232" s="83" t="s">
        <v>84</v>
      </c>
      <c r="AZ232" s="311" t="str">
        <f>IF(AP232&lt;1,"-",AP232-Y232)</f>
        <v>-</v>
      </c>
      <c r="BA232" s="64" t="str">
        <f>IF(AZ232="-","-",($B$2-AO232+1)*AZ232)</f>
        <v>-</v>
      </c>
      <c r="BB232" s="63" t="str">
        <f>IF(AZ232="-","-",AZ232-H232)</f>
        <v>-</v>
      </c>
      <c r="BC232" s="86"/>
      <c r="BD232" s="139">
        <f>IF(AP232&lt;1,IF($B$2&gt;=A232,($A$2-A232+1)*-1*H232,"-"),AZ232*($A$2-AO232+1)-H232*($A$2-A232+1))</f>
        <v>0</v>
      </c>
      <c r="BE232" s="511"/>
      <c r="BF232" s="703"/>
      <c r="BG232" s="716"/>
      <c r="BH232" s="91"/>
      <c r="BI232" s="91"/>
      <c r="BJ232" s="93"/>
      <c r="BK232" s="748"/>
      <c r="BL232" s="748"/>
      <c r="BM232" s="748"/>
      <c r="BN232" s="91" t="str">
        <f>IF(BH232=0,"-",BH232-AP232)</f>
        <v>-</v>
      </c>
      <c r="BO232" s="91" t="str">
        <f>IF(BI232=0,"-",BI232-AQ232)</f>
        <v>-</v>
      </c>
      <c r="BP232" s="94" t="str">
        <f>IF(BN232="-","-",AZ232+BN232)</f>
        <v>-</v>
      </c>
      <c r="BQ232" s="95" t="str">
        <f>IF(BN232="-","-",(($B$2-AO232+1)*(AZ232+BN232)))</f>
        <v>-</v>
      </c>
      <c r="BR232" s="315"/>
      <c r="BS232" s="214"/>
      <c r="BT232" s="131"/>
      <c r="BU232" s="215"/>
      <c r="BV232" s="99"/>
      <c r="BW232" s="215"/>
      <c r="BX232" s="214"/>
      <c r="BY232" s="621"/>
      <c r="BZ232" s="101"/>
      <c r="CA232" s="102"/>
      <c r="CB232" s="103" t="e">
        <f t="shared" ref="CB232:CB237" si="38">($D$1-AL232)*AZ232</f>
        <v>#VALUE!</v>
      </c>
      <c r="CC232" s="104">
        <f t="shared" ref="CC232:CC237" si="39">IF(AO232&gt;0,"-",(AG232-CA232))</f>
        <v>0</v>
      </c>
      <c r="CD232" s="105">
        <f t="shared" ref="CD232:CD237" si="40">IF(AO232&gt;0,"-",(($D$1-CA232)*H232))</f>
        <v>0</v>
      </c>
      <c r="CE232" s="718"/>
      <c r="CF232" s="719"/>
      <c r="CG232" s="719"/>
      <c r="CH232" s="720"/>
      <c r="CI232" s="721" t="s">
        <v>130</v>
      </c>
      <c r="CJ232" s="111"/>
      <c r="CK232" s="111"/>
    </row>
    <row r="233" spans="1:89" ht="33" hidden="1" customHeight="1" outlineLevel="1">
      <c r="A233" s="59">
        <f>DAY(AG233)</f>
        <v>0</v>
      </c>
      <c r="B233" s="247"/>
      <c r="C233" s="247"/>
      <c r="D233" s="62"/>
      <c r="E233" s="62"/>
      <c r="F233" s="247"/>
      <c r="G233" s="80">
        <f t="shared" ref="G233:G240" si="41">M233-T233</f>
        <v>0</v>
      </c>
      <c r="H233" s="80">
        <f t="shared" ref="H233:H240" si="42">M233-T233</f>
        <v>0</v>
      </c>
      <c r="I233" s="80">
        <f t="shared" ref="I233:I240" si="43">IF($B$2&gt;=A233,($B$2-A233+1)*H233,"-")</f>
        <v>0</v>
      </c>
      <c r="J233" s="80">
        <f t="shared" ref="J233:J240" si="44">($A$2-A233+1)*H233</f>
        <v>0</v>
      </c>
      <c r="K233" s="271"/>
      <c r="L233" s="80">
        <f t="shared" ca="1" si="37"/>
        <v>0</v>
      </c>
      <c r="M233" s="252"/>
      <c r="N233" s="252"/>
      <c r="O233" s="69"/>
      <c r="P233" s="71"/>
      <c r="Q233" s="71"/>
      <c r="R233" s="71"/>
      <c r="S233" s="66"/>
      <c r="T233" s="630"/>
      <c r="U233" s="631"/>
      <c r="V233" s="69"/>
      <c r="W233" s="635"/>
      <c r="X233" s="635"/>
      <c r="Y233" s="630"/>
      <c r="Z233" s="631"/>
      <c r="AA233" s="372"/>
      <c r="AB233" s="635"/>
      <c r="AC233" s="537"/>
      <c r="AD233" s="274"/>
      <c r="AE233" s="253"/>
      <c r="AF233" s="135"/>
      <c r="AG233" s="454"/>
      <c r="AH233" s="74">
        <f>IF(AE233="переход","",AF233-AE233)</f>
        <v>0</v>
      </c>
      <c r="AI233" s="75" t="str">
        <f>IF(T233="","",AH233*T233)</f>
        <v/>
      </c>
      <c r="AJ233" s="276"/>
      <c r="AK233" s="77"/>
      <c r="AL233" s="288">
        <f>AK233</f>
        <v>0</v>
      </c>
      <c r="AM233" s="74">
        <f>IF(AJ233="переход","",AL233-AJ233)</f>
        <v>0</v>
      </c>
      <c r="AN233" s="75" t="str">
        <f>IF(Y233="","",AM233*Y233)</f>
        <v/>
      </c>
      <c r="AO233" s="78">
        <f>DAY(AL233)</f>
        <v>0</v>
      </c>
      <c r="AP233" s="74"/>
      <c r="AQ233" s="63"/>
      <c r="AR233" s="257"/>
      <c r="AS233" s="80"/>
      <c r="AT233" s="68"/>
      <c r="AU233" s="68"/>
      <c r="AV233" s="68"/>
      <c r="AW233" s="68"/>
      <c r="AX233" s="258"/>
      <c r="AY233" s="83" t="s">
        <v>84</v>
      </c>
      <c r="AZ233" s="311" t="str">
        <f>IF(AP233&lt;1,"-",AP233-Y233)</f>
        <v>-</v>
      </c>
      <c r="BA233" s="64" t="str">
        <f>IF(AZ233="-","-",($B$2-AO233+1)*AZ233)</f>
        <v>-</v>
      </c>
      <c r="BB233" s="63" t="str">
        <f>IF(AZ233="-","-",AZ233-H233)</f>
        <v>-</v>
      </c>
      <c r="BC233" s="86"/>
      <c r="BD233" s="139">
        <f>IF(AP233&lt;1,IF($B$2&gt;=A233,($A$2-A233+1)*-1*H233,"-"),AZ233*($A$2-AO233+1)-H233*($A$2-A233+1))</f>
        <v>0</v>
      </c>
      <c r="BE233" s="511"/>
      <c r="BF233" s="703"/>
      <c r="BG233" s="841"/>
      <c r="BH233" s="93"/>
      <c r="BI233" s="91"/>
      <c r="BJ233" s="93"/>
      <c r="BK233" s="748"/>
      <c r="BL233" s="748"/>
      <c r="BM233" s="748"/>
      <c r="BN233" s="91"/>
      <c r="BO233" s="91"/>
      <c r="BP233" s="94"/>
      <c r="BQ233" s="95"/>
      <c r="BR233" s="315"/>
      <c r="BS233" s="214"/>
      <c r="BT233" s="131"/>
      <c r="BU233" s="215"/>
      <c r="BV233" s="99"/>
      <c r="BW233" s="215"/>
      <c r="BX233" s="214"/>
      <c r="BY233" s="621"/>
      <c r="BZ233" s="101" t="e">
        <f>NA()</f>
        <v>#N/A</v>
      </c>
      <c r="CA233" s="102" t="e">
        <f>NA()</f>
        <v>#N/A</v>
      </c>
      <c r="CB233" s="103" t="e">
        <f t="shared" si="38"/>
        <v>#VALUE!</v>
      </c>
      <c r="CC233" s="104" t="e">
        <f t="shared" si="39"/>
        <v>#N/A</v>
      </c>
      <c r="CD233" s="105" t="e">
        <f t="shared" si="40"/>
        <v>#N/A</v>
      </c>
      <c r="CE233" s="718"/>
      <c r="CF233" s="719"/>
      <c r="CG233" s="719"/>
      <c r="CH233" s="720"/>
      <c r="CI233" s="721" t="s">
        <v>130</v>
      </c>
      <c r="CJ233" s="111"/>
      <c r="CK233" s="111"/>
    </row>
    <row r="234" spans="1:89" ht="12.75" hidden="1" customHeight="1" outlineLevel="1">
      <c r="A234" s="484"/>
      <c r="B234" s="505"/>
      <c r="C234" s="505"/>
      <c r="D234" s="247"/>
      <c r="E234" s="270"/>
      <c r="F234" s="270"/>
      <c r="G234" s="65">
        <f t="shared" si="41"/>
        <v>0</v>
      </c>
      <c r="H234" s="80">
        <f t="shared" si="42"/>
        <v>0</v>
      </c>
      <c r="I234" s="80">
        <f t="shared" si="43"/>
        <v>0</v>
      </c>
      <c r="J234" s="80">
        <f t="shared" si="44"/>
        <v>0</v>
      </c>
      <c r="K234" s="66"/>
      <c r="L234" s="670">
        <f t="shared" ca="1" si="37"/>
        <v>0</v>
      </c>
      <c r="M234" s="252"/>
      <c r="N234" s="252"/>
      <c r="O234" s="71"/>
      <c r="P234" s="71"/>
      <c r="Q234" s="71"/>
      <c r="R234" s="71"/>
      <c r="S234" s="273"/>
      <c r="T234" s="63"/>
      <c r="U234" s="71"/>
      <c r="V234" s="537"/>
      <c r="W234" s="71"/>
      <c r="X234" s="537"/>
      <c r="Y234" s="63"/>
      <c r="Z234" s="71"/>
      <c r="AA234" s="537"/>
      <c r="AB234" s="71"/>
      <c r="AC234" s="72"/>
      <c r="AD234" s="274"/>
      <c r="AE234" s="73"/>
      <c r="AF234" s="135"/>
      <c r="AG234" s="135"/>
      <c r="AH234" s="74"/>
      <c r="AI234" s="75"/>
      <c r="AJ234" s="276"/>
      <c r="AK234" s="77"/>
      <c r="AL234" s="77"/>
      <c r="AM234" s="74"/>
      <c r="AN234" s="75"/>
      <c r="AO234" s="78"/>
      <c r="AP234" s="74"/>
      <c r="AQ234" s="256"/>
      <c r="AR234" s="74"/>
      <c r="AS234" s="112"/>
      <c r="AT234" s="247"/>
      <c r="AU234" s="247"/>
      <c r="AV234" s="247"/>
      <c r="AW234" s="317"/>
      <c r="AX234" s="258"/>
      <c r="AY234" s="514"/>
      <c r="AZ234" s="84"/>
      <c r="BA234" s="64"/>
      <c r="BB234" s="64"/>
      <c r="BC234" s="515"/>
      <c r="BD234" s="516"/>
      <c r="BE234" s="455"/>
      <c r="BF234" s="375"/>
      <c r="BG234" s="517"/>
      <c r="BH234" s="91"/>
      <c r="BI234" s="91"/>
      <c r="BJ234" s="93"/>
      <c r="BK234" s="91"/>
      <c r="BL234" s="93"/>
      <c r="BM234" s="93"/>
      <c r="BN234" s="91"/>
      <c r="BO234" s="91"/>
      <c r="BP234" s="94"/>
      <c r="BQ234" s="95"/>
      <c r="BR234" s="130"/>
      <c r="BS234" s="131"/>
      <c r="BT234" s="131"/>
      <c r="BU234" s="132"/>
      <c r="BV234" s="99"/>
      <c r="BW234" s="284"/>
      <c r="BX234" s="214"/>
      <c r="BY234" s="214"/>
      <c r="BZ234" s="101" t="e">
        <f>NA()</f>
        <v>#N/A</v>
      </c>
      <c r="CA234" s="102" t="e">
        <f>NA()</f>
        <v>#N/A</v>
      </c>
      <c r="CB234" s="103">
        <f t="shared" si="38"/>
        <v>0</v>
      </c>
      <c r="CC234" s="104" t="e">
        <f t="shared" si="39"/>
        <v>#N/A</v>
      </c>
      <c r="CD234" s="105" t="e">
        <f t="shared" si="40"/>
        <v>#N/A</v>
      </c>
      <c r="CE234" s="101"/>
      <c r="CF234" s="102"/>
      <c r="CG234" s="103"/>
      <c r="CH234" s="518"/>
      <c r="CI234" s="912" t="s">
        <v>130</v>
      </c>
      <c r="CJ234" s="715"/>
    </row>
    <row r="235" spans="1:89" ht="12.75" hidden="1" customHeight="1" outlineLevel="1">
      <c r="A235" s="484"/>
      <c r="B235" s="505"/>
      <c r="C235" s="505"/>
      <c r="D235" s="247"/>
      <c r="E235" s="270"/>
      <c r="F235" s="270"/>
      <c r="G235" s="65">
        <f t="shared" si="41"/>
        <v>0</v>
      </c>
      <c r="H235" s="80">
        <f t="shared" si="42"/>
        <v>0</v>
      </c>
      <c r="I235" s="80">
        <f t="shared" si="43"/>
        <v>0</v>
      </c>
      <c r="J235" s="80">
        <f t="shared" si="44"/>
        <v>0</v>
      </c>
      <c r="K235" s="66"/>
      <c r="L235" s="670">
        <f t="shared" ca="1" si="37"/>
        <v>0</v>
      </c>
      <c r="M235" s="252"/>
      <c r="N235" s="252"/>
      <c r="O235" s="71"/>
      <c r="P235" s="71"/>
      <c r="Q235" s="71"/>
      <c r="R235" s="71"/>
      <c r="S235" s="273"/>
      <c r="T235" s="63"/>
      <c r="U235" s="71"/>
      <c r="V235" s="537"/>
      <c r="W235" s="71"/>
      <c r="X235" s="537"/>
      <c r="Y235" s="63"/>
      <c r="Z235" s="71"/>
      <c r="AA235" s="537"/>
      <c r="AB235" s="71"/>
      <c r="AC235" s="72"/>
      <c r="AD235" s="274"/>
      <c r="AE235" s="73"/>
      <c r="AF235" s="135"/>
      <c r="AG235" s="135"/>
      <c r="AH235" s="74"/>
      <c r="AI235" s="75"/>
      <c r="AJ235" s="276"/>
      <c r="AK235" s="77"/>
      <c r="AL235" s="77"/>
      <c r="AM235" s="74"/>
      <c r="AN235" s="75"/>
      <c r="AO235" s="78"/>
      <c r="AP235" s="74"/>
      <c r="AQ235" s="256"/>
      <c r="AR235" s="74"/>
      <c r="AS235" s="112"/>
      <c r="AT235" s="247"/>
      <c r="AU235" s="247"/>
      <c r="AV235" s="247"/>
      <c r="AW235" s="317"/>
      <c r="AX235" s="258"/>
      <c r="AY235" s="514"/>
      <c r="AZ235" s="84"/>
      <c r="BA235" s="64"/>
      <c r="BB235" s="64"/>
      <c r="BC235" s="515"/>
      <c r="BD235" s="516"/>
      <c r="BE235" s="455"/>
      <c r="BF235" s="375"/>
      <c r="BG235" s="517"/>
      <c r="BH235" s="91"/>
      <c r="BI235" s="91"/>
      <c r="BJ235" s="93"/>
      <c r="BK235" s="91"/>
      <c r="BL235" s="93"/>
      <c r="BM235" s="93"/>
      <c r="BN235" s="91"/>
      <c r="BO235" s="91"/>
      <c r="BP235" s="94"/>
      <c r="BQ235" s="95"/>
      <c r="BR235" s="130"/>
      <c r="BS235" s="131"/>
      <c r="BT235" s="131"/>
      <c r="BU235" s="132"/>
      <c r="BV235" s="99"/>
      <c r="BW235" s="284"/>
      <c r="BX235" s="214"/>
      <c r="BY235" s="214"/>
      <c r="BZ235" s="101" t="e">
        <f>NA()</f>
        <v>#N/A</v>
      </c>
      <c r="CA235" s="102" t="e">
        <f>NA()</f>
        <v>#N/A</v>
      </c>
      <c r="CB235" s="103">
        <f t="shared" si="38"/>
        <v>0</v>
      </c>
      <c r="CC235" s="104" t="e">
        <f t="shared" si="39"/>
        <v>#N/A</v>
      </c>
      <c r="CD235" s="105" t="e">
        <f t="shared" si="40"/>
        <v>#N/A</v>
      </c>
      <c r="CE235" s="101"/>
      <c r="CF235" s="102"/>
      <c r="CG235" s="103"/>
      <c r="CH235" s="518"/>
      <c r="CI235" s="912" t="s">
        <v>130</v>
      </c>
      <c r="CJ235" s="715"/>
    </row>
    <row r="236" spans="1:89" ht="12.75" hidden="1" customHeight="1" outlineLevel="1">
      <c r="A236" s="484"/>
      <c r="B236" s="505"/>
      <c r="C236" s="505"/>
      <c r="D236" s="247"/>
      <c r="E236" s="270"/>
      <c r="F236" s="270"/>
      <c r="G236" s="65">
        <f t="shared" si="41"/>
        <v>0</v>
      </c>
      <c r="H236" s="80">
        <f t="shared" si="42"/>
        <v>0</v>
      </c>
      <c r="I236" s="80">
        <f t="shared" si="43"/>
        <v>0</v>
      </c>
      <c r="J236" s="80">
        <f t="shared" si="44"/>
        <v>0</v>
      </c>
      <c r="K236" s="66"/>
      <c r="L236" s="670">
        <f t="shared" ca="1" si="37"/>
        <v>0</v>
      </c>
      <c r="M236" s="252"/>
      <c r="N236" s="252"/>
      <c r="O236" s="71"/>
      <c r="P236" s="71"/>
      <c r="Q236" s="71"/>
      <c r="R236" s="71"/>
      <c r="S236" s="273"/>
      <c r="T236" s="63"/>
      <c r="U236" s="71"/>
      <c r="V236" s="71"/>
      <c r="W236" s="71"/>
      <c r="X236" s="71"/>
      <c r="Y236" s="63"/>
      <c r="Z236" s="71"/>
      <c r="AA236" s="71"/>
      <c r="AB236" s="71"/>
      <c r="AC236" s="72"/>
      <c r="AD236" s="274"/>
      <c r="AE236" s="73"/>
      <c r="AF236" s="135"/>
      <c r="AG236" s="135"/>
      <c r="AH236" s="74"/>
      <c r="AI236" s="75"/>
      <c r="AJ236" s="276"/>
      <c r="AK236" s="77"/>
      <c r="AL236" s="77"/>
      <c r="AM236" s="74"/>
      <c r="AN236" s="75"/>
      <c r="AO236" s="78"/>
      <c r="AP236" s="74"/>
      <c r="AQ236" s="256"/>
      <c r="AR236" s="74"/>
      <c r="AS236" s="112"/>
      <c r="AT236" s="247"/>
      <c r="AU236" s="247"/>
      <c r="AV236" s="247"/>
      <c r="AW236" s="317"/>
      <c r="AX236" s="258"/>
      <c r="AY236" s="514"/>
      <c r="AZ236" s="84"/>
      <c r="BA236" s="64"/>
      <c r="BB236" s="64"/>
      <c r="BC236" s="515"/>
      <c r="BD236" s="516"/>
      <c r="BE236" s="455"/>
      <c r="BF236" s="375"/>
      <c r="BG236" s="517"/>
      <c r="BH236" s="91"/>
      <c r="BI236" s="91"/>
      <c r="BJ236" s="93"/>
      <c r="BK236" s="91"/>
      <c r="BL236" s="93"/>
      <c r="BM236" s="93"/>
      <c r="BN236" s="91"/>
      <c r="BO236" s="91"/>
      <c r="BP236" s="94"/>
      <c r="BQ236" s="95"/>
      <c r="BR236" s="130"/>
      <c r="BS236" s="131"/>
      <c r="BT236" s="131"/>
      <c r="BU236" s="132"/>
      <c r="BV236" s="99"/>
      <c r="BW236" s="284"/>
      <c r="BX236" s="214"/>
      <c r="BY236" s="214"/>
      <c r="BZ236" s="101" t="e">
        <f>NA()</f>
        <v>#N/A</v>
      </c>
      <c r="CA236" s="102" t="e">
        <f>NA()</f>
        <v>#N/A</v>
      </c>
      <c r="CB236" s="103">
        <f t="shared" si="38"/>
        <v>0</v>
      </c>
      <c r="CC236" s="104" t="e">
        <f t="shared" si="39"/>
        <v>#N/A</v>
      </c>
      <c r="CD236" s="105" t="e">
        <f t="shared" si="40"/>
        <v>#N/A</v>
      </c>
      <c r="CE236" s="101"/>
      <c r="CF236" s="102"/>
      <c r="CG236" s="103"/>
      <c r="CH236" s="518"/>
      <c r="CI236" s="912" t="s">
        <v>130</v>
      </c>
      <c r="CJ236" s="715"/>
    </row>
    <row r="237" spans="1:89" ht="12.75" hidden="1" customHeight="1" outlineLevel="1">
      <c r="A237" s="484"/>
      <c r="B237" s="505"/>
      <c r="C237" s="505"/>
      <c r="D237" s="247"/>
      <c r="E237" s="270"/>
      <c r="F237" s="270"/>
      <c r="G237" s="65">
        <f t="shared" si="41"/>
        <v>0</v>
      </c>
      <c r="H237" s="80">
        <f t="shared" si="42"/>
        <v>0</v>
      </c>
      <c r="I237" s="80">
        <f t="shared" si="43"/>
        <v>0</v>
      </c>
      <c r="J237" s="80">
        <f t="shared" si="44"/>
        <v>0</v>
      </c>
      <c r="K237" s="66"/>
      <c r="L237" s="670">
        <f t="shared" ca="1" si="37"/>
        <v>0</v>
      </c>
      <c r="M237" s="252"/>
      <c r="N237" s="519"/>
      <c r="O237" s="520"/>
      <c r="P237" s="520"/>
      <c r="Q237" s="520"/>
      <c r="R237" s="520"/>
      <c r="S237" s="249"/>
      <c r="T237" s="63"/>
      <c r="U237" s="70"/>
      <c r="V237" s="508"/>
      <c r="W237" s="71"/>
      <c r="X237" s="508"/>
      <c r="Y237" s="63"/>
      <c r="Z237" s="70"/>
      <c r="AA237" s="508"/>
      <c r="AB237" s="71"/>
      <c r="AC237" s="72"/>
      <c r="AD237" s="274"/>
      <c r="AE237" s="73"/>
      <c r="AF237" s="135"/>
      <c r="AG237" s="135"/>
      <c r="AH237" s="74"/>
      <c r="AI237" s="75"/>
      <c r="AJ237" s="276"/>
      <c r="AK237" s="77"/>
      <c r="AL237" s="77"/>
      <c r="AM237" s="74"/>
      <c r="AN237" s="75"/>
      <c r="AO237" s="78"/>
      <c r="AP237" s="74"/>
      <c r="AQ237" s="256"/>
      <c r="AR237" s="74"/>
      <c r="AS237" s="112"/>
      <c r="AT237" s="247"/>
      <c r="AU237" s="247"/>
      <c r="AV237" s="247"/>
      <c r="AW237" s="317"/>
      <c r="AX237" s="258"/>
      <c r="AY237" s="514"/>
      <c r="AZ237" s="84"/>
      <c r="BA237" s="64"/>
      <c r="BB237" s="64"/>
      <c r="BC237" s="515"/>
      <c r="BD237" s="516"/>
      <c r="BE237" s="455"/>
      <c r="BF237" s="375"/>
      <c r="BG237" s="517"/>
      <c r="BH237" s="91"/>
      <c r="BI237" s="91"/>
      <c r="BJ237" s="93"/>
      <c r="BK237" s="91"/>
      <c r="BL237" s="93"/>
      <c r="BM237" s="93"/>
      <c r="BN237" s="91"/>
      <c r="BO237" s="91"/>
      <c r="BP237" s="94"/>
      <c r="BQ237" s="95"/>
      <c r="BR237" s="130"/>
      <c r="BS237" s="131"/>
      <c r="BT237" s="131"/>
      <c r="BU237" s="132"/>
      <c r="BV237" s="99"/>
      <c r="BW237" s="284"/>
      <c r="BX237" s="214"/>
      <c r="BY237" s="214"/>
      <c r="BZ237" s="101" t="e">
        <f>NA()</f>
        <v>#N/A</v>
      </c>
      <c r="CA237" s="102" t="e">
        <f>NA()</f>
        <v>#N/A</v>
      </c>
      <c r="CB237" s="103">
        <f t="shared" si="38"/>
        <v>0</v>
      </c>
      <c r="CC237" s="104" t="e">
        <f t="shared" si="39"/>
        <v>#N/A</v>
      </c>
      <c r="CD237" s="105" t="e">
        <f t="shared" si="40"/>
        <v>#N/A</v>
      </c>
      <c r="CE237" s="101"/>
      <c r="CF237" s="102"/>
      <c r="CG237" s="103"/>
      <c r="CH237" s="518"/>
      <c r="CI237" s="912" t="s">
        <v>130</v>
      </c>
      <c r="CJ237" s="715"/>
    </row>
    <row r="238" spans="1:89" ht="12.75" hidden="1" customHeight="1" outlineLevel="1">
      <c r="A238" s="386"/>
      <c r="B238" s="505"/>
      <c r="C238" s="505"/>
      <c r="D238" s="247"/>
      <c r="E238" s="270"/>
      <c r="F238" s="270"/>
      <c r="G238" s="65">
        <f t="shared" si="41"/>
        <v>0</v>
      </c>
      <c r="H238" s="80">
        <f t="shared" si="42"/>
        <v>0</v>
      </c>
      <c r="I238" s="80">
        <f t="shared" si="43"/>
        <v>0</v>
      </c>
      <c r="J238" s="80">
        <f t="shared" si="44"/>
        <v>0</v>
      </c>
      <c r="K238" s="66"/>
      <c r="L238" s="670">
        <f t="shared" ca="1" si="37"/>
        <v>0</v>
      </c>
      <c r="M238" s="63"/>
      <c r="N238" s="71"/>
      <c r="O238" s="71"/>
      <c r="P238" s="71"/>
      <c r="Q238" s="71"/>
      <c r="R238" s="71"/>
      <c r="S238" s="273"/>
      <c r="T238" s="63"/>
      <c r="U238" s="71"/>
      <c r="V238" s="287"/>
      <c r="W238" s="71"/>
      <c r="X238" s="71"/>
      <c r="Y238" s="63"/>
      <c r="Z238" s="71"/>
      <c r="AA238" s="287"/>
      <c r="AB238" s="71"/>
      <c r="AC238" s="72"/>
      <c r="AD238" s="274"/>
      <c r="AE238" s="135"/>
      <c r="AF238" s="135"/>
      <c r="AG238" s="135"/>
      <c r="AH238" s="74"/>
      <c r="AI238" s="75"/>
      <c r="AJ238" s="276"/>
      <c r="AK238" s="77"/>
      <c r="AL238" s="77"/>
      <c r="AM238" s="74"/>
      <c r="AN238" s="75"/>
      <c r="AO238" s="78"/>
      <c r="AP238" s="74"/>
      <c r="AQ238" s="256"/>
      <c r="AR238" s="74"/>
      <c r="AS238" s="112"/>
      <c r="AT238" s="247"/>
      <c r="AU238" s="247"/>
      <c r="AV238" s="247"/>
      <c r="AW238" s="317"/>
      <c r="AX238" s="258"/>
      <c r="AY238" s="514"/>
      <c r="AZ238" s="84"/>
      <c r="BA238" s="64"/>
      <c r="BB238" s="64"/>
      <c r="BC238" s="515"/>
      <c r="BD238" s="516"/>
      <c r="BE238" s="455"/>
      <c r="BF238" s="375"/>
      <c r="BG238" s="517"/>
      <c r="BH238" s="91"/>
      <c r="BI238" s="91"/>
      <c r="BJ238" s="93"/>
      <c r="BK238" s="91"/>
      <c r="BL238" s="93"/>
      <c r="BM238" s="93"/>
      <c r="BN238" s="91"/>
      <c r="BO238" s="91"/>
      <c r="BP238" s="94"/>
      <c r="BQ238" s="95"/>
      <c r="BR238" s="130"/>
      <c r="BS238" s="131"/>
      <c r="BT238" s="131"/>
      <c r="BU238" s="132"/>
      <c r="BV238" s="99"/>
      <c r="BW238" s="284"/>
      <c r="BX238" s="214"/>
      <c r="BY238" s="214"/>
      <c r="BZ238" s="101"/>
      <c r="CA238" s="102"/>
      <c r="CB238" s="103"/>
      <c r="CC238" s="104"/>
      <c r="CD238" s="105"/>
      <c r="CE238" s="101"/>
      <c r="CF238" s="102"/>
      <c r="CG238" s="103"/>
      <c r="CH238" s="518"/>
      <c r="CI238" s="912" t="s">
        <v>130</v>
      </c>
      <c r="CJ238" s="715"/>
    </row>
    <row r="239" spans="1:89" ht="12.75" hidden="1" customHeight="1" outlineLevel="1">
      <c r="A239" s="310"/>
      <c r="B239" s="505"/>
      <c r="C239" s="506"/>
      <c r="D239" s="62"/>
      <c r="E239" s="914"/>
      <c r="F239" s="915"/>
      <c r="G239" s="65">
        <f t="shared" si="41"/>
        <v>0</v>
      </c>
      <c r="H239" s="80">
        <f t="shared" si="42"/>
        <v>0</v>
      </c>
      <c r="I239" s="80">
        <f t="shared" si="43"/>
        <v>0</v>
      </c>
      <c r="J239" s="80">
        <f t="shared" si="44"/>
        <v>0</v>
      </c>
      <c r="K239" s="66"/>
      <c r="L239" s="670">
        <f t="shared" ca="1" si="37"/>
        <v>0</v>
      </c>
      <c r="M239" s="252"/>
      <c r="N239" s="519"/>
      <c r="O239" s="520"/>
      <c r="P239" s="520"/>
      <c r="Q239" s="520"/>
      <c r="R239" s="520"/>
      <c r="S239" s="249"/>
      <c r="T239" s="64"/>
      <c r="U239" s="70"/>
      <c r="V239" s="508"/>
      <c r="W239" s="71"/>
      <c r="X239" s="508"/>
      <c r="Y239" s="64"/>
      <c r="Z239" s="70"/>
      <c r="AA239" s="508"/>
      <c r="AB239" s="71"/>
      <c r="AC239" s="72"/>
      <c r="AD239" s="274"/>
      <c r="AE239" s="135"/>
      <c r="AF239" s="135"/>
      <c r="AG239" s="135"/>
      <c r="AH239" s="74"/>
      <c r="AI239" s="75"/>
      <c r="AJ239" s="276"/>
      <c r="AK239" s="77"/>
      <c r="AL239" s="77"/>
      <c r="AM239" s="74"/>
      <c r="AN239" s="75"/>
      <c r="AO239" s="78"/>
      <c r="AP239" s="74"/>
      <c r="AQ239" s="74"/>
      <c r="AR239" s="74"/>
      <c r="AS239" s="66"/>
      <c r="AT239" s="247"/>
      <c r="AU239" s="247"/>
      <c r="AV239" s="247"/>
      <c r="AW239" s="317"/>
      <c r="AX239" s="916"/>
      <c r="AY239" s="448"/>
      <c r="AZ239" s="84"/>
      <c r="BA239" s="64"/>
      <c r="BB239" s="64"/>
      <c r="BC239" s="312"/>
      <c r="BD239" s="516"/>
      <c r="BE239" s="917"/>
      <c r="BF239" s="918"/>
      <c r="BG239" s="918"/>
      <c r="BH239" s="94"/>
      <c r="BI239" s="91"/>
      <c r="BJ239" s="91"/>
      <c r="BK239" s="91"/>
      <c r="BL239" s="91"/>
      <c r="BM239" s="91"/>
      <c r="BN239" s="91"/>
      <c r="BO239" s="94"/>
      <c r="BP239" s="383"/>
      <c r="BQ239" s="919"/>
      <c r="BR239" s="130"/>
      <c r="BS239" s="131"/>
      <c r="BT239" s="131"/>
      <c r="BU239" s="131"/>
      <c r="BV239" s="99"/>
      <c r="BW239" s="385"/>
      <c r="BX239" s="214"/>
      <c r="BY239" s="214"/>
      <c r="BZ239" s="101"/>
      <c r="CA239" s="102"/>
      <c r="CB239" s="103"/>
      <c r="CC239" s="125"/>
      <c r="CD239" s="105"/>
      <c r="CE239" s="106"/>
      <c r="CF239" s="107"/>
      <c r="CG239" s="108"/>
      <c r="CH239" s="377"/>
      <c r="CI239" s="912"/>
      <c r="CJ239" s="715"/>
    </row>
    <row r="240" spans="1:89" ht="12.75" hidden="1" customHeight="1" outlineLevel="1">
      <c r="A240" s="386"/>
      <c r="B240" s="505"/>
      <c r="C240" s="506"/>
      <c r="D240" s="62"/>
      <c r="E240" s="914"/>
      <c r="F240" s="915"/>
      <c r="G240" s="65">
        <f t="shared" si="41"/>
        <v>0</v>
      </c>
      <c r="H240" s="80">
        <f t="shared" si="42"/>
        <v>0</v>
      </c>
      <c r="I240" s="80">
        <f t="shared" si="43"/>
        <v>0</v>
      </c>
      <c r="J240" s="80">
        <f t="shared" si="44"/>
        <v>0</v>
      </c>
      <c r="K240" s="66"/>
      <c r="L240" s="670">
        <f t="shared" ca="1" si="37"/>
        <v>0</v>
      </c>
      <c r="M240" s="252"/>
      <c r="N240" s="519"/>
      <c r="O240" s="520"/>
      <c r="P240" s="520"/>
      <c r="Q240" s="520"/>
      <c r="R240" s="520"/>
      <c r="S240" s="249"/>
      <c r="T240" s="64"/>
      <c r="U240" s="70"/>
      <c r="V240" s="508"/>
      <c r="W240" s="71"/>
      <c r="X240" s="508"/>
      <c r="Y240" s="64"/>
      <c r="Z240" s="70"/>
      <c r="AA240" s="508"/>
      <c r="AB240" s="71"/>
      <c r="AC240" s="72"/>
      <c r="AD240" s="274"/>
      <c r="AE240" s="135"/>
      <c r="AF240" s="135"/>
      <c r="AG240" s="135"/>
      <c r="AH240" s="74"/>
      <c r="AI240" s="75"/>
      <c r="AJ240" s="276"/>
      <c r="AK240" s="77"/>
      <c r="AL240" s="77"/>
      <c r="AM240" s="74"/>
      <c r="AN240" s="75"/>
      <c r="AO240" s="78"/>
      <c r="AP240" s="74"/>
      <c r="AQ240" s="74"/>
      <c r="AR240" s="74"/>
      <c r="AS240" s="66"/>
      <c r="AT240" s="247"/>
      <c r="AU240" s="247"/>
      <c r="AV240" s="247"/>
      <c r="AW240" s="317"/>
      <c r="AX240" s="916"/>
      <c r="AY240" s="448"/>
      <c r="AZ240" s="84"/>
      <c r="BA240" s="64"/>
      <c r="BB240" s="64"/>
      <c r="BC240" s="312"/>
      <c r="BD240" s="516"/>
      <c r="BE240" s="920"/>
      <c r="BF240" s="918"/>
      <c r="BG240" s="918"/>
      <c r="BH240" s="94"/>
      <c r="BI240" s="91"/>
      <c r="BJ240" s="91"/>
      <c r="BK240" s="91"/>
      <c r="BL240" s="91"/>
      <c r="BM240" s="91"/>
      <c r="BN240" s="91"/>
      <c r="BO240" s="94"/>
      <c r="BP240" s="921"/>
      <c r="BQ240" s="922"/>
      <c r="BR240" s="130"/>
      <c r="BS240" s="131"/>
      <c r="BT240" s="131"/>
      <c r="BU240" s="131"/>
      <c r="BV240" s="99"/>
      <c r="BW240" s="385"/>
      <c r="BX240" s="214"/>
      <c r="BY240" s="214"/>
      <c r="BZ240" s="101"/>
      <c r="CA240" s="102"/>
      <c r="CB240" s="103"/>
      <c r="CC240" s="104"/>
      <c r="CD240" s="105"/>
      <c r="CE240" s="106"/>
      <c r="CF240" s="107"/>
      <c r="CG240" s="108"/>
      <c r="CH240" s="377"/>
      <c r="CI240" s="860"/>
      <c r="CJ240" s="715"/>
    </row>
    <row r="241" spans="1:89" ht="12.75" hidden="1" customHeight="1" outlineLevel="1">
      <c r="A241" s="148" t="s">
        <v>86</v>
      </c>
      <c r="B241" s="149">
        <f>COUNTIF(A232:A240,$B$1)</f>
        <v>2</v>
      </c>
      <c r="C241" s="150"/>
      <c r="D241" s="151"/>
      <c r="E241" s="151"/>
      <c r="F241" s="151"/>
      <c r="G241" s="152">
        <f>SUMIF(A232:A240,$B$1,G232:G240)</f>
        <v>0</v>
      </c>
      <c r="H241" s="152">
        <f>SUMIF(A232:A240,$B$1,H232:H240)</f>
        <v>0</v>
      </c>
      <c r="I241" s="152">
        <f>SUM(I232:I240)</f>
        <v>0</v>
      </c>
      <c r="J241" s="152"/>
      <c r="K241" s="152"/>
      <c r="L241" s="152">
        <f ca="1">SUMIF(A232:A240,$B$1,L232:L240)</f>
        <v>0</v>
      </c>
      <c r="M241" s="152"/>
      <c r="N241" s="152"/>
      <c r="O241" s="152"/>
      <c r="P241" s="152"/>
      <c r="Q241" s="152"/>
      <c r="R241" s="152"/>
      <c r="S241" s="152"/>
      <c r="T241" s="152"/>
      <c r="U241" s="152"/>
      <c r="V241" s="151"/>
      <c r="W241" s="151"/>
      <c r="X241" s="151"/>
      <c r="Y241" s="152"/>
      <c r="Z241" s="152"/>
      <c r="AA241" s="151"/>
      <c r="AB241" s="151"/>
      <c r="AC241" s="151"/>
      <c r="AD241" s="151"/>
      <c r="AE241" s="154"/>
      <c r="AF241" s="155"/>
      <c r="AG241" s="156"/>
      <c r="AH241" s="152"/>
      <c r="AI241" s="157"/>
      <c r="AJ241" s="730"/>
      <c r="AK241" s="156"/>
      <c r="AL241" s="156"/>
      <c r="AM241" s="152"/>
      <c r="AN241" s="157"/>
      <c r="AO241" s="297">
        <f>COUNTA(AO232:AO240)</f>
        <v>2</v>
      </c>
      <c r="AP241" s="152">
        <f>SUM(AP232:AP240)</f>
        <v>0</v>
      </c>
      <c r="AQ241" s="152">
        <f>SUM(AQ232:AQ240)</f>
        <v>0</v>
      </c>
      <c r="AR241" s="161"/>
      <c r="AS241" s="151"/>
      <c r="AT241" s="151"/>
      <c r="AU241" s="151"/>
      <c r="AV241" s="151"/>
      <c r="AW241" s="151"/>
      <c r="AX241" s="151"/>
      <c r="AY241" s="682"/>
      <c r="AZ241" s="163">
        <f>SUM(AZ232:AZ240)</f>
        <v>0</v>
      </c>
      <c r="BA241" s="163">
        <f>SUM(BA232:BA240)</f>
        <v>0</v>
      </c>
      <c r="BB241" s="163">
        <f>SUM(BB232:BB240)</f>
        <v>0</v>
      </c>
      <c r="BC241" s="221" t="str">
        <f>IF(COUNT(BC232:BC240)=0,"-",AVERAGE(BC232:BC240))</f>
        <v>-</v>
      </c>
      <c r="BD241" s="165"/>
      <c r="BE241" s="166"/>
      <c r="BF241" s="222"/>
      <c r="BG241" s="223"/>
      <c r="BH241" s="895"/>
      <c r="BI241" s="895"/>
      <c r="BJ241" s="895"/>
      <c r="BK241" s="895"/>
      <c r="BL241" s="895"/>
      <c r="BM241" s="895"/>
      <c r="BN241" s="895"/>
      <c r="BO241" s="895"/>
      <c r="BP241" s="176"/>
      <c r="BQ241" s="177"/>
      <c r="BR241" s="897"/>
      <c r="BS241" s="898"/>
      <c r="BT241" s="870"/>
      <c r="BU241" s="899"/>
      <c r="BV241" s="871"/>
      <c r="BW241" s="897"/>
      <c r="BX241" s="908"/>
      <c r="BY241" s="909"/>
      <c r="BZ241" s="171"/>
      <c r="CA241" s="172"/>
      <c r="CB241" s="173">
        <f>AO241</f>
        <v>2</v>
      </c>
      <c r="CC241" s="173">
        <f>COUNTIF(CC232:CC240,"=0")</f>
        <v>1</v>
      </c>
      <c r="CD241" s="174">
        <f>SUM(COUNTIF(CC232:CC240,"&lt;0"),COUNTIF(CC232:CC240,"&gt;0"))</f>
        <v>0</v>
      </c>
      <c r="CE241" s="225"/>
      <c r="CF241" s="226"/>
      <c r="CG241" s="227"/>
      <c r="CH241" s="228"/>
      <c r="CI241" s="731"/>
      <c r="CJ241" s="715"/>
    </row>
    <row r="242" spans="1:89" ht="12.75" hidden="1" customHeight="1" outlineLevel="1">
      <c r="A242" s="179" t="s">
        <v>87</v>
      </c>
      <c r="B242" s="348">
        <f>IF(A232=0,0,(COUNT(A232:A240)))</f>
        <v>0</v>
      </c>
      <c r="C242" s="181"/>
      <c r="D242" s="182"/>
      <c r="E242" s="182"/>
      <c r="F242" s="182"/>
      <c r="G242" s="184">
        <f>SUM(G232:G240)</f>
        <v>0</v>
      </c>
      <c r="H242" s="184">
        <f>SUMIF(A232:A239,"&gt;0",H232:H239)</f>
        <v>0</v>
      </c>
      <c r="I242" s="184"/>
      <c r="J242" s="184">
        <f>SUM(J232:J240)</f>
        <v>0</v>
      </c>
      <c r="K242" s="184"/>
      <c r="L242" s="185"/>
      <c r="M242" s="184"/>
      <c r="N242" s="184"/>
      <c r="O242" s="184"/>
      <c r="P242" s="184"/>
      <c r="Q242" s="184"/>
      <c r="R242" s="184"/>
      <c r="S242" s="185"/>
      <c r="T242" s="185">
        <f>SUMIF(AG232:AG240,"перех.",T232:T240)</f>
        <v>0</v>
      </c>
      <c r="U242" s="185"/>
      <c r="V242" s="182"/>
      <c r="W242" s="182"/>
      <c r="X242" s="182"/>
      <c r="Y242" s="185">
        <f>SUMIF(AM232:AM240,"перех.",Y232:Y240)</f>
        <v>0</v>
      </c>
      <c r="Z242" s="185"/>
      <c r="AA242" s="182"/>
      <c r="AB242" s="182"/>
      <c r="AC242" s="182"/>
      <c r="AD242" s="182"/>
      <c r="AE242" s="186"/>
      <c r="AF242" s="186"/>
      <c r="AG242" s="186"/>
      <c r="AH242" s="184">
        <f>COUNT(AI232:AI239)</f>
        <v>0</v>
      </c>
      <c r="AI242" s="184">
        <f>SUM(AI232:AI239)</f>
        <v>0</v>
      </c>
      <c r="AJ242" s="186"/>
      <c r="AK242" s="186"/>
      <c r="AL242" s="186"/>
      <c r="AM242" s="184"/>
      <c r="AN242" s="184"/>
      <c r="AO242" s="182"/>
      <c r="AP242" s="182"/>
      <c r="AQ242" s="182"/>
      <c r="AR242" s="187"/>
      <c r="AS242" s="182"/>
      <c r="AT242" s="182"/>
      <c r="AU242" s="182"/>
      <c r="AV242" s="182"/>
      <c r="AW242" s="182"/>
      <c r="AX242" s="182"/>
      <c r="AY242" s="923"/>
      <c r="AZ242" s="190"/>
      <c r="BA242" s="190"/>
      <c r="BB242" s="190"/>
      <c r="BC242" s="304"/>
      <c r="BD242" s="188">
        <f>SUM(BD232:BD240)</f>
        <v>0</v>
      </c>
      <c r="BE242" s="189"/>
      <c r="BF242" s="189"/>
      <c r="BG242" s="190"/>
      <c r="BH242" s="900"/>
      <c r="BI242" s="900"/>
      <c r="BJ242" s="900"/>
      <c r="BK242" s="900"/>
      <c r="BL242" s="900"/>
      <c r="BM242" s="900"/>
      <c r="BN242" s="900"/>
      <c r="BO242" s="900"/>
      <c r="BP242" s="308"/>
      <c r="BQ242" s="237"/>
      <c r="BR242" s="873"/>
      <c r="BS242" s="875"/>
      <c r="BT242" s="875"/>
      <c r="BU242" s="875"/>
      <c r="BV242" s="474"/>
      <c r="BW242" s="192"/>
      <c r="BX242" s="193"/>
      <c r="BY242" s="193"/>
      <c r="BZ242" s="195"/>
      <c r="CA242" s="196"/>
      <c r="CB242" s="197" t="e">
        <f>SUM(CB232:CB240)</f>
        <v>#VALUE!</v>
      </c>
      <c r="CC242" s="197">
        <f>SUMIF(CC232:CC240,"=0",CD232:CD240)</f>
        <v>0</v>
      </c>
      <c r="CD242" s="198">
        <f>SUMIF(CC239:CC240,"&lt;&gt;0",CD239:CD240)</f>
        <v>0</v>
      </c>
      <c r="CE242" s="234"/>
      <c r="CF242" s="197"/>
      <c r="CG242" s="197"/>
      <c r="CH242" s="198"/>
      <c r="CI242" s="744"/>
      <c r="CJ242" s="715"/>
    </row>
    <row r="243" spans="1:89" ht="30" hidden="1" customHeight="1" outlineLevel="1">
      <c r="A243" s="2147" t="s">
        <v>131</v>
      </c>
      <c r="B243" s="2147"/>
      <c r="C243" s="2147"/>
      <c r="D243" s="2147"/>
      <c r="E243" s="2147"/>
      <c r="F243" s="2147"/>
      <c r="G243" s="2147"/>
      <c r="H243" s="2147"/>
      <c r="I243" s="2147"/>
      <c r="J243" s="2147"/>
      <c r="K243" s="2147"/>
      <c r="L243" s="2147"/>
      <c r="M243" s="2147"/>
      <c r="N243" s="2147"/>
      <c r="O243" s="2147"/>
      <c r="P243" s="2147"/>
      <c r="Q243" s="2147"/>
      <c r="R243" s="2147"/>
      <c r="S243" s="2147"/>
      <c r="T243" s="2147"/>
      <c r="U243" s="2147"/>
      <c r="V243" s="2147"/>
      <c r="W243" s="2147"/>
      <c r="X243" s="2147"/>
      <c r="Y243" s="2147"/>
      <c r="Z243" s="2147"/>
      <c r="AA243" s="2147"/>
      <c r="AB243" s="2147"/>
      <c r="AC243" s="2147"/>
      <c r="AD243" s="2147"/>
      <c r="AE243" s="2147"/>
      <c r="AF243" s="2147"/>
      <c r="AG243" s="2147"/>
      <c r="AH243" s="2147"/>
      <c r="AI243" s="2147"/>
      <c r="AJ243" s="2147"/>
      <c r="AK243" s="2147"/>
      <c r="AL243" s="2147"/>
      <c r="AM243" s="2147"/>
      <c r="AN243" s="2147"/>
      <c r="AO243" s="2147"/>
      <c r="AP243" s="2147"/>
      <c r="AQ243" s="2147"/>
      <c r="AR243" s="2147"/>
      <c r="AS243" s="2147"/>
      <c r="AT243" s="2147"/>
      <c r="AU243" s="2147"/>
      <c r="AV243" s="2147"/>
      <c r="AW243" s="2147"/>
      <c r="AX243" s="2147"/>
      <c r="AY243" s="2147"/>
      <c r="AZ243" s="2147"/>
      <c r="BA243" s="2147"/>
      <c r="BB243" s="2147"/>
      <c r="BC243" s="2147"/>
      <c r="BD243" s="2147"/>
      <c r="BE243" s="2147"/>
      <c r="BF243" s="242"/>
      <c r="BG243" s="241"/>
      <c r="BH243" s="924"/>
      <c r="BI243" s="924"/>
      <c r="BJ243" s="924"/>
      <c r="BK243" s="924"/>
      <c r="BL243" s="924"/>
      <c r="BM243" s="924"/>
      <c r="BN243" s="924"/>
      <c r="BO243" s="924"/>
      <c r="BP243" s="283"/>
      <c r="BQ243" s="264"/>
      <c r="BR243" s="207"/>
      <c r="BS243" s="208"/>
      <c r="BT243" s="208"/>
      <c r="BU243" s="208"/>
      <c r="BV243" s="209"/>
      <c r="BW243" s="207"/>
      <c r="BX243" s="208"/>
      <c r="BY243" s="209"/>
      <c r="BZ243" s="925"/>
      <c r="CA243" s="502"/>
      <c r="CB243" s="502"/>
      <c r="CC243" s="502"/>
      <c r="CD243" s="503"/>
      <c r="CE243" s="926"/>
      <c r="CF243" s="502"/>
      <c r="CG243" s="502"/>
      <c r="CH243" s="503"/>
      <c r="CI243" s="601"/>
      <c r="CJ243" s="715"/>
      <c r="CK243" s="602"/>
    </row>
    <row r="244" spans="1:89" ht="23.25" hidden="1" outlineLevel="1">
      <c r="A244" s="59"/>
      <c r="B244" s="505"/>
      <c r="C244" s="505"/>
      <c r="D244" s="248"/>
      <c r="E244" s="62"/>
      <c r="F244" s="247"/>
      <c r="G244" s="80"/>
      <c r="H244" s="80"/>
      <c r="I244" s="80"/>
      <c r="J244" s="80"/>
      <c r="K244" s="271"/>
      <c r="L244" s="857"/>
      <c r="M244" s="63"/>
      <c r="N244" s="71"/>
      <c r="O244" s="71"/>
      <c r="P244" s="71"/>
      <c r="Q244" s="71"/>
      <c r="R244" s="71"/>
      <c r="S244" s="273"/>
      <c r="T244" s="63"/>
      <c r="U244" s="71"/>
      <c r="V244" s="287"/>
      <c r="W244" s="71"/>
      <c r="X244" s="71"/>
      <c r="Y244" s="63"/>
      <c r="Z244" s="71"/>
      <c r="AA244" s="69"/>
      <c r="AB244" s="71"/>
      <c r="AC244" s="72"/>
      <c r="AD244" s="274" t="s">
        <v>129</v>
      </c>
      <c r="AE244" s="906"/>
      <c r="AF244" s="135"/>
      <c r="AG244" s="555"/>
      <c r="AH244" s="939"/>
      <c r="AI244" s="940"/>
      <c r="AJ244" s="818"/>
      <c r="AK244" s="319"/>
      <c r="AL244" s="319"/>
      <c r="AM244" s="74"/>
      <c r="AN244" s="75"/>
      <c r="AO244" s="78">
        <f>DAY(AL244)</f>
        <v>0</v>
      </c>
      <c r="AP244" s="74"/>
      <c r="AQ244" s="63"/>
      <c r="AR244" s="257"/>
      <c r="AS244" s="80"/>
      <c r="AT244" s="112"/>
      <c r="AU244" s="252"/>
      <c r="AV244" s="252"/>
      <c r="AW244" s="252"/>
      <c r="AX244" s="258"/>
      <c r="AY244" s="448" t="s">
        <v>84</v>
      </c>
      <c r="AZ244" s="311" t="str">
        <f>IF(AP244&lt;1,"-",AP244-Y244)</f>
        <v>-</v>
      </c>
      <c r="BA244" s="63" t="str">
        <f>IF(AZ244="-","-",($B$2-AO244+1)*AZ244)</f>
        <v>-</v>
      </c>
      <c r="BB244" s="63" t="str">
        <f>IF(AZ244="-","-",AZ244-H244)</f>
        <v>-</v>
      </c>
      <c r="BC244" s="312"/>
      <c r="BD244" s="516"/>
      <c r="BE244" s="927"/>
      <c r="BF244" s="928"/>
      <c r="BG244" s="90"/>
      <c r="BH244" s="929"/>
      <c r="BI244" s="929"/>
      <c r="BJ244" s="929"/>
      <c r="BK244" s="929"/>
      <c r="BL244" s="929"/>
      <c r="BM244" s="929"/>
      <c r="BN244" s="91" t="str">
        <f t="shared" ref="BN244:BO249" si="45">IF(BH244=0,"-",BH244-AP244)</f>
        <v>-</v>
      </c>
      <c r="BO244" s="91" t="str">
        <f t="shared" si="45"/>
        <v>-</v>
      </c>
      <c r="BP244" s="94" t="str">
        <f t="shared" ref="BP244:BP249" si="46">IF(BN244="-","-",AZ244+BN244)</f>
        <v>-</v>
      </c>
      <c r="BQ244" s="95" t="str">
        <f t="shared" ref="BQ244:BQ249" si="47">IF(BN244="-","-",(($B$2-AO244+1)*(AZ244+BN244)))</f>
        <v>-</v>
      </c>
      <c r="BR244" s="315"/>
      <c r="BS244" s="214"/>
      <c r="BT244" s="131"/>
      <c r="BU244" s="215"/>
      <c r="BV244" s="99"/>
      <c r="BW244" s="215"/>
      <c r="BX244" s="214"/>
      <c r="BY244" s="214"/>
      <c r="BZ244" s="101"/>
      <c r="CA244" s="133"/>
      <c r="CB244" s="103"/>
      <c r="CC244" s="104"/>
      <c r="CD244" s="105"/>
      <c r="CE244" s="930"/>
      <c r="CF244" s="263"/>
      <c r="CG244" s="263"/>
      <c r="CH244" s="931"/>
      <c r="CI244" s="912" t="s">
        <v>130</v>
      </c>
      <c r="CJ244" s="715"/>
      <c r="CK244" s="602"/>
    </row>
    <row r="245" spans="1:89" ht="23.25" hidden="1" outlineLevel="1">
      <c r="A245" s="310"/>
      <c r="B245" s="505"/>
      <c r="C245" s="505"/>
      <c r="D245" s="248"/>
      <c r="E245" s="248"/>
      <c r="F245" s="247"/>
      <c r="G245" s="80"/>
      <c r="H245" s="80"/>
      <c r="I245" s="80"/>
      <c r="J245" s="80"/>
      <c r="K245" s="271"/>
      <c r="L245" s="857"/>
      <c r="M245" s="63"/>
      <c r="N245" s="71"/>
      <c r="O245" s="71"/>
      <c r="P245" s="71"/>
      <c r="Q245" s="71"/>
      <c r="R245" s="71"/>
      <c r="S245" s="273"/>
      <c r="T245" s="63"/>
      <c r="U245" s="71"/>
      <c r="V245" s="287"/>
      <c r="W245" s="71"/>
      <c r="X245" s="71"/>
      <c r="Y245" s="63"/>
      <c r="Z245" s="71"/>
      <c r="AA245" s="287"/>
      <c r="AB245" s="71"/>
      <c r="AC245" s="72"/>
      <c r="AD245" s="274" t="s">
        <v>129</v>
      </c>
      <c r="AE245" s="906"/>
      <c r="AF245" s="135"/>
      <c r="AG245" s="555"/>
      <c r="AH245" s="939"/>
      <c r="AI245" s="940"/>
      <c r="AJ245" s="135"/>
      <c r="AK245" s="255"/>
      <c r="AL245" s="255"/>
      <c r="AM245" s="74"/>
      <c r="AN245" s="75"/>
      <c r="AO245" s="78"/>
      <c r="AP245" s="74"/>
      <c r="AQ245" s="63"/>
      <c r="AR245" s="74"/>
      <c r="AS245" s="80"/>
      <c r="AT245" s="112"/>
      <c r="AU245" s="252"/>
      <c r="AV245" s="252"/>
      <c r="AW245" s="252"/>
      <c r="AX245" s="258"/>
      <c r="AY245" s="448"/>
      <c r="AZ245" s="311" t="str">
        <f>IF(AP245&lt;1,"-",AP245-Y245)</f>
        <v>-</v>
      </c>
      <c r="BA245" s="64" t="str">
        <f>IF(AZ245="-","-",($B$2-AO245+1)*AZ245)</f>
        <v>-</v>
      </c>
      <c r="BB245" s="64" t="str">
        <f>IF(AZ245="-","-",AZ245-H245)</f>
        <v>-</v>
      </c>
      <c r="BC245" s="63"/>
      <c r="BD245" s="139"/>
      <c r="BE245" s="927"/>
      <c r="BF245" s="928"/>
      <c r="BG245" s="90"/>
      <c r="BH245" s="929"/>
      <c r="BI245" s="929"/>
      <c r="BJ245" s="929"/>
      <c r="BK245" s="929"/>
      <c r="BL245" s="929"/>
      <c r="BM245" s="929"/>
      <c r="BN245" s="91" t="str">
        <f t="shared" si="45"/>
        <v>-</v>
      </c>
      <c r="BO245" s="91" t="str">
        <f t="shared" si="45"/>
        <v>-</v>
      </c>
      <c r="BP245" s="94" t="str">
        <f t="shared" si="46"/>
        <v>-</v>
      </c>
      <c r="BQ245" s="95" t="str">
        <f t="shared" si="47"/>
        <v>-</v>
      </c>
      <c r="BR245" s="315"/>
      <c r="BS245" s="214"/>
      <c r="BT245" s="131"/>
      <c r="BU245" s="215"/>
      <c r="BV245" s="99" t="str">
        <f>IF(AO245&lt;1,"",(AO245))</f>
        <v/>
      </c>
      <c r="BW245" s="215"/>
      <c r="BX245" s="214"/>
      <c r="BY245" s="214"/>
      <c r="BZ245" s="101"/>
      <c r="CA245" s="133"/>
      <c r="CB245" s="103"/>
      <c r="CC245" s="104"/>
      <c r="CD245" s="105"/>
      <c r="CE245" s="930"/>
      <c r="CF245" s="263"/>
      <c r="CG245" s="263"/>
      <c r="CH245" s="931"/>
      <c r="CI245" s="912" t="s">
        <v>130</v>
      </c>
      <c r="CJ245" s="715"/>
      <c r="CK245" s="602"/>
    </row>
    <row r="246" spans="1:89" ht="18.75" hidden="1" outlineLevel="1">
      <c r="A246" s="310"/>
      <c r="B246" s="247"/>
      <c r="C246" s="247"/>
      <c r="D246" s="62"/>
      <c r="E246" s="62"/>
      <c r="F246" s="247"/>
      <c r="G246" s="80"/>
      <c r="H246" s="80"/>
      <c r="I246" s="80"/>
      <c r="J246" s="80"/>
      <c r="K246" s="271"/>
      <c r="L246" s="65"/>
      <c r="M246" s="68"/>
      <c r="N246" s="68"/>
      <c r="O246" s="70"/>
      <c r="P246" s="70"/>
      <c r="Q246" s="70"/>
      <c r="R246" s="70"/>
      <c r="S246" s="249"/>
      <c r="T246" s="250"/>
      <c r="U246" s="70"/>
      <c r="V246" s="70"/>
      <c r="W246" s="70"/>
      <c r="X246" s="70"/>
      <c r="Y246" s="64"/>
      <c r="Z246" s="70"/>
      <c r="AA246" s="70"/>
      <c r="AB246" s="70"/>
      <c r="AC246" s="251"/>
      <c r="AD246" s="274" t="s">
        <v>129</v>
      </c>
      <c r="AE246" s="724"/>
      <c r="AF246" s="135"/>
      <c r="AG246" s="555"/>
      <c r="AH246" s="74"/>
      <c r="AI246" s="75"/>
      <c r="AJ246" s="319"/>
      <c r="AK246" s="288"/>
      <c r="AL246" s="77"/>
      <c r="AM246" s="74"/>
      <c r="AN246" s="75"/>
      <c r="AO246" s="78"/>
      <c r="AP246" s="74"/>
      <c r="AQ246" s="63"/>
      <c r="AR246" s="74"/>
      <c r="AS246" s="80"/>
      <c r="AT246" s="68"/>
      <c r="AU246" s="68"/>
      <c r="AV246" s="68"/>
      <c r="AW246" s="68"/>
      <c r="AX246" s="258"/>
      <c r="AY246" s="843"/>
      <c r="AZ246" s="311" t="str">
        <f>IF(AP246&lt;1,"-",AP246-Y246)</f>
        <v>-</v>
      </c>
      <c r="BA246" s="64" t="str">
        <f>IF(AZ246="-","-",($B$2-AO246+1)*AZ246)</f>
        <v>-</v>
      </c>
      <c r="BB246" s="64" t="str">
        <f>IF(AZ246="-","-",AZ246-H246)</f>
        <v>-</v>
      </c>
      <c r="BC246" s="515"/>
      <c r="BD246" s="516"/>
      <c r="BE246" s="933"/>
      <c r="BF246" s="703"/>
      <c r="BG246" s="90"/>
      <c r="BH246" s="457"/>
      <c r="BI246" s="450"/>
      <c r="BJ246" s="450"/>
      <c r="BK246" s="91"/>
      <c r="BL246" s="91"/>
      <c r="BM246" s="91"/>
      <c r="BN246" s="91" t="str">
        <f t="shared" si="45"/>
        <v>-</v>
      </c>
      <c r="BO246" s="91" t="str">
        <f t="shared" si="45"/>
        <v>-</v>
      </c>
      <c r="BP246" s="94" t="str">
        <f t="shared" si="46"/>
        <v>-</v>
      </c>
      <c r="BQ246" s="95" t="str">
        <f t="shared" si="47"/>
        <v>-</v>
      </c>
      <c r="BR246" s="130"/>
      <c r="BS246" s="214"/>
      <c r="BT246" s="131"/>
      <c r="BU246" s="215"/>
      <c r="BV246" s="99" t="str">
        <f>IF(AO246&lt;1,"",(AO246))</f>
        <v/>
      </c>
      <c r="BW246" s="385"/>
      <c r="BX246" s="214"/>
      <c r="BY246" s="214"/>
      <c r="BZ246" s="101"/>
      <c r="CA246" s="102"/>
      <c r="CB246" s="103"/>
      <c r="CC246" s="104"/>
      <c r="CD246" s="105"/>
      <c r="CE246" s="106"/>
      <c r="CF246" s="107"/>
      <c r="CG246" s="108"/>
      <c r="CH246" s="377"/>
      <c r="CI246" s="860" t="s">
        <v>130</v>
      </c>
      <c r="CJ246" s="715"/>
    </row>
    <row r="247" spans="1:89" ht="18.75" hidden="1" outlineLevel="1">
      <c r="A247" s="310"/>
      <c r="B247" s="247"/>
      <c r="C247" s="247"/>
      <c r="D247" s="62"/>
      <c r="E247" s="62"/>
      <c r="F247" s="247"/>
      <c r="G247" s="80"/>
      <c r="H247" s="80"/>
      <c r="I247" s="80"/>
      <c r="J247" s="80"/>
      <c r="K247" s="271"/>
      <c r="L247" s="65"/>
      <c r="M247" s="68"/>
      <c r="N247" s="68"/>
      <c r="O247" s="70"/>
      <c r="P247" s="70"/>
      <c r="Q247" s="70"/>
      <c r="R247" s="70"/>
      <c r="S247" s="249"/>
      <c r="T247" s="250"/>
      <c r="U247" s="70"/>
      <c r="V247" s="70"/>
      <c r="W247" s="70"/>
      <c r="X247" s="70"/>
      <c r="Y247" s="250"/>
      <c r="Z247" s="70"/>
      <c r="AA247" s="70"/>
      <c r="AB247" s="70"/>
      <c r="AC247" s="251"/>
      <c r="AD247" s="274" t="s">
        <v>129</v>
      </c>
      <c r="AE247" s="724"/>
      <c r="AF247" s="135"/>
      <c r="AG247" s="555"/>
      <c r="AH247" s="74"/>
      <c r="AI247" s="75"/>
      <c r="AJ247" s="319"/>
      <c r="AK247" s="288"/>
      <c r="AL247" s="77"/>
      <c r="AM247" s="74"/>
      <c r="AN247" s="75"/>
      <c r="AO247" s="78"/>
      <c r="AP247" s="74"/>
      <c r="AQ247" s="63"/>
      <c r="AR247" s="74"/>
      <c r="AS247" s="80"/>
      <c r="AT247" s="68"/>
      <c r="AU247" s="68"/>
      <c r="AV247" s="68"/>
      <c r="AW247" s="68"/>
      <c r="AX247" s="258"/>
      <c r="AY247" s="843"/>
      <c r="AZ247" s="311" t="str">
        <f>IF(AP247&lt;1,"-",AP247-Y247)</f>
        <v>-</v>
      </c>
      <c r="BA247" s="64" t="str">
        <f>IF(AZ247="-","-",($B$2-AO247+1)*AZ247)</f>
        <v>-</v>
      </c>
      <c r="BB247" s="64" t="str">
        <f>IF(AZ247="-","-",AZ247-H247)</f>
        <v>-</v>
      </c>
      <c r="BC247" s="515"/>
      <c r="BD247" s="516"/>
      <c r="BE247" s="934"/>
      <c r="BF247" s="703"/>
      <c r="BG247" s="90"/>
      <c r="BH247" s="457"/>
      <c r="BI247" s="450"/>
      <c r="BJ247" s="450"/>
      <c r="BK247" s="91"/>
      <c r="BL247" s="91"/>
      <c r="BM247" s="91"/>
      <c r="BN247" s="91" t="str">
        <f t="shared" si="45"/>
        <v>-</v>
      </c>
      <c r="BO247" s="91" t="str">
        <f t="shared" si="45"/>
        <v>-</v>
      </c>
      <c r="BP247" s="94" t="str">
        <f t="shared" si="46"/>
        <v>-</v>
      </c>
      <c r="BQ247" s="95" t="str">
        <f t="shared" si="47"/>
        <v>-</v>
      </c>
      <c r="BR247" s="130"/>
      <c r="BS247" s="214"/>
      <c r="BT247" s="131"/>
      <c r="BU247" s="215"/>
      <c r="BV247" s="99" t="str">
        <f>IF(AO247&lt;1,"",(AO247))</f>
        <v/>
      </c>
      <c r="BW247" s="385"/>
      <c r="BX247" s="214"/>
      <c r="BY247" s="214"/>
      <c r="BZ247" s="101"/>
      <c r="CA247" s="102"/>
      <c r="CB247" s="103"/>
      <c r="CC247" s="104"/>
      <c r="CD247" s="105"/>
      <c r="CE247" s="106"/>
      <c r="CF247" s="107"/>
      <c r="CG247" s="108"/>
      <c r="CH247" s="377"/>
      <c r="CI247" s="860" t="s">
        <v>130</v>
      </c>
      <c r="CJ247" s="715"/>
    </row>
    <row r="248" spans="1:89" ht="23.25" hidden="1" outlineLevel="1">
      <c r="A248" s="484"/>
      <c r="B248" s="270"/>
      <c r="C248" s="270"/>
      <c r="D248" s="62"/>
      <c r="E248" s="914"/>
      <c r="F248" s="915"/>
      <c r="G248" s="80"/>
      <c r="H248" s="80"/>
      <c r="I248" s="80"/>
      <c r="J248" s="80"/>
      <c r="K248" s="66"/>
      <c r="L248" s="285"/>
      <c r="M248" s="63"/>
      <c r="N248" s="71"/>
      <c r="O248" s="71"/>
      <c r="P248" s="71"/>
      <c r="Q248" s="71"/>
      <c r="R248" s="71"/>
      <c r="S248" s="273"/>
      <c r="T248" s="63"/>
      <c r="U248" s="71"/>
      <c r="V248" s="287"/>
      <c r="W248" s="71"/>
      <c r="X248" s="71"/>
      <c r="Y248" s="63"/>
      <c r="Z248" s="71"/>
      <c r="AA248" s="287"/>
      <c r="AB248" s="71"/>
      <c r="AC248" s="72"/>
      <c r="AD248" s="274"/>
      <c r="AE248" s="906"/>
      <c r="AF248" s="135"/>
      <c r="AG248" s="555"/>
      <c r="AH248" s="939"/>
      <c r="AI248" s="940"/>
      <c r="AJ248" s="135"/>
      <c r="AK248" s="77"/>
      <c r="AL248" s="276"/>
      <c r="AM248" s="74"/>
      <c r="AN248" s="75"/>
      <c r="AO248" s="78"/>
      <c r="AP248" s="74"/>
      <c r="AQ248" s="256"/>
      <c r="AR248" s="74"/>
      <c r="AS248" s="66"/>
      <c r="AT248" s="247"/>
      <c r="AU248" s="247"/>
      <c r="AV248" s="68"/>
      <c r="AW248" s="68"/>
      <c r="AX248" s="258"/>
      <c r="AY248" s="843"/>
      <c r="AZ248" s="311"/>
      <c r="BA248" s="64"/>
      <c r="BB248" s="64"/>
      <c r="BC248" s="515"/>
      <c r="BD248" s="516"/>
      <c r="BE248" s="927"/>
      <c r="BF248" s="748"/>
      <c r="BG248" s="90"/>
      <c r="BH248" s="91"/>
      <c r="BI248" s="91"/>
      <c r="BJ248" s="91"/>
      <c r="BK248" s="91"/>
      <c r="BL248" s="91"/>
      <c r="BM248" s="91"/>
      <c r="BN248" s="91" t="str">
        <f t="shared" si="45"/>
        <v>-</v>
      </c>
      <c r="BO248" s="91" t="str">
        <f t="shared" si="45"/>
        <v>-</v>
      </c>
      <c r="BP248" s="94" t="str">
        <f t="shared" si="46"/>
        <v>-</v>
      </c>
      <c r="BQ248" s="95" t="str">
        <f t="shared" si="47"/>
        <v>-</v>
      </c>
      <c r="BR248" s="130"/>
      <c r="BS248" s="214"/>
      <c r="BT248" s="131"/>
      <c r="BU248" s="215"/>
      <c r="BV248" s="99"/>
      <c r="BW248" s="385"/>
      <c r="BX248" s="214"/>
      <c r="BY248" s="214"/>
      <c r="BZ248" s="101"/>
      <c r="CA248" s="102"/>
      <c r="CB248" s="103"/>
      <c r="CC248" s="104"/>
      <c r="CD248" s="105"/>
      <c r="CE248" s="627"/>
      <c r="CF248" s="107"/>
      <c r="CG248" s="108"/>
      <c r="CH248" s="726"/>
      <c r="CI248" s="912" t="s">
        <v>130</v>
      </c>
      <c r="CJ248" s="715"/>
      <c r="CK248" s="602"/>
    </row>
    <row r="249" spans="1:89" ht="23.25" hidden="1" outlineLevel="1">
      <c r="A249" s="484"/>
      <c r="B249" s="270"/>
      <c r="C249" s="270"/>
      <c r="D249" s="62"/>
      <c r="E249" s="914"/>
      <c r="F249" s="915"/>
      <c r="G249" s="80"/>
      <c r="H249" s="80"/>
      <c r="I249" s="80"/>
      <c r="J249" s="80"/>
      <c r="K249" s="66"/>
      <c r="L249" s="285"/>
      <c r="M249" s="63"/>
      <c r="N249" s="71"/>
      <c r="O249" s="71"/>
      <c r="P249" s="71"/>
      <c r="Q249" s="71"/>
      <c r="R249" s="71"/>
      <c r="S249" s="273"/>
      <c r="T249" s="63"/>
      <c r="U249" s="71"/>
      <c r="V249" s="287"/>
      <c r="W249" s="71"/>
      <c r="X249" s="71"/>
      <c r="Y249" s="63"/>
      <c r="Z249" s="71"/>
      <c r="AA249" s="287"/>
      <c r="AB249" s="71"/>
      <c r="AC249" s="72"/>
      <c r="AD249" s="274"/>
      <c r="AE249" s="906"/>
      <c r="AF249" s="135"/>
      <c r="AG249" s="555"/>
      <c r="AH249" s="939"/>
      <c r="AI249" s="940"/>
      <c r="AJ249" s="135"/>
      <c r="AK249" s="77"/>
      <c r="AL249" s="276"/>
      <c r="AM249" s="74"/>
      <c r="AN249" s="75"/>
      <c r="AO249" s="78"/>
      <c r="AP249" s="74"/>
      <c r="AQ249" s="256"/>
      <c r="AR249" s="74"/>
      <c r="AS249" s="66"/>
      <c r="AT249" s="247"/>
      <c r="AU249" s="247"/>
      <c r="AV249" s="68"/>
      <c r="AW249" s="68"/>
      <c r="AX249" s="258"/>
      <c r="AY249" s="843"/>
      <c r="AZ249" s="84"/>
      <c r="BA249" s="64"/>
      <c r="BB249" s="64"/>
      <c r="BC249" s="515"/>
      <c r="BD249" s="516"/>
      <c r="BE249" s="927"/>
      <c r="BF249" s="748"/>
      <c r="BG249" s="90"/>
      <c r="BH249" s="91"/>
      <c r="BI249" s="91"/>
      <c r="BJ249" s="91"/>
      <c r="BK249" s="91"/>
      <c r="BL249" s="91"/>
      <c r="BM249" s="91"/>
      <c r="BN249" s="91" t="str">
        <f t="shared" si="45"/>
        <v>-</v>
      </c>
      <c r="BO249" s="91" t="str">
        <f t="shared" si="45"/>
        <v>-</v>
      </c>
      <c r="BP249" s="94" t="str">
        <f t="shared" si="46"/>
        <v>-</v>
      </c>
      <c r="BQ249" s="95" t="str">
        <f t="shared" si="47"/>
        <v>-</v>
      </c>
      <c r="BR249" s="130"/>
      <c r="BS249" s="131"/>
      <c r="BT249" s="131"/>
      <c r="BU249" s="131"/>
      <c r="BV249" s="99"/>
      <c r="BW249" s="385"/>
      <c r="BX249" s="214"/>
      <c r="BY249" s="214"/>
      <c r="BZ249" s="101"/>
      <c r="CA249" s="102"/>
      <c r="CB249" s="103"/>
      <c r="CC249" s="104"/>
      <c r="CD249" s="105"/>
      <c r="CE249" s="627"/>
      <c r="CF249" s="107"/>
      <c r="CG249" s="108"/>
      <c r="CH249" s="726"/>
      <c r="CI249" s="912" t="s">
        <v>130</v>
      </c>
      <c r="CJ249" s="715"/>
      <c r="CK249" s="602"/>
    </row>
    <row r="250" spans="1:89" ht="23.25" hidden="1" outlineLevel="1">
      <c r="A250" s="484"/>
      <c r="B250" s="270"/>
      <c r="C250" s="270"/>
      <c r="D250" s="62"/>
      <c r="E250" s="914"/>
      <c r="F250" s="915"/>
      <c r="G250" s="80"/>
      <c r="H250" s="80"/>
      <c r="I250" s="80"/>
      <c r="J250" s="80"/>
      <c r="K250" s="66"/>
      <c r="L250" s="285"/>
      <c r="M250" s="63"/>
      <c r="N250" s="71"/>
      <c r="O250" s="71"/>
      <c r="P250" s="71"/>
      <c r="Q250" s="71"/>
      <c r="R250" s="71"/>
      <c r="S250" s="273"/>
      <c r="T250" s="63"/>
      <c r="U250" s="71"/>
      <c r="V250" s="287"/>
      <c r="W250" s="71"/>
      <c r="X250" s="71"/>
      <c r="Y250" s="63"/>
      <c r="Z250" s="71"/>
      <c r="AA250" s="287"/>
      <c r="AB250" s="71"/>
      <c r="AC250" s="72"/>
      <c r="AD250" s="274"/>
      <c r="AE250" s="906"/>
      <c r="AF250" s="135"/>
      <c r="AG250" s="555"/>
      <c r="AH250" s="939"/>
      <c r="AI250" s="940"/>
      <c r="AJ250" s="135"/>
      <c r="AK250" s="77"/>
      <c r="AL250" s="276"/>
      <c r="AM250" s="74"/>
      <c r="AN250" s="75"/>
      <c r="AO250" s="78"/>
      <c r="AP250" s="289"/>
      <c r="AQ250" s="256"/>
      <c r="AR250" s="74"/>
      <c r="AS250" s="66"/>
      <c r="AT250" s="247"/>
      <c r="AU250" s="247"/>
      <c r="AV250" s="68"/>
      <c r="AW250" s="68"/>
      <c r="AX250" s="258"/>
      <c r="AY250" s="448"/>
      <c r="AZ250" s="84"/>
      <c r="BA250" s="64"/>
      <c r="BB250" s="64"/>
      <c r="BC250" s="515"/>
      <c r="BD250" s="516"/>
      <c r="BE250" s="927"/>
      <c r="BF250" s="748"/>
      <c r="BG250" s="90"/>
      <c r="BH250" s="91"/>
      <c r="BI250" s="91"/>
      <c r="BJ250" s="91"/>
      <c r="BK250" s="91"/>
      <c r="BL250" s="91"/>
      <c r="BM250" s="91"/>
      <c r="BN250" s="91"/>
      <c r="BO250" s="91"/>
      <c r="BP250" s="94"/>
      <c r="BQ250" s="95"/>
      <c r="BR250" s="130"/>
      <c r="BS250" s="131"/>
      <c r="BT250" s="131"/>
      <c r="BU250" s="131"/>
      <c r="BV250" s="99" t="str">
        <f>IF(AO250&lt;1,"",(AO250))</f>
        <v/>
      </c>
      <c r="BW250" s="385"/>
      <c r="BX250" s="214"/>
      <c r="BY250" s="214"/>
      <c r="BZ250" s="101"/>
      <c r="CA250" s="102"/>
      <c r="CB250" s="103"/>
      <c r="CC250" s="104"/>
      <c r="CD250" s="105"/>
      <c r="CE250" s="627"/>
      <c r="CF250" s="107"/>
      <c r="CG250" s="108"/>
      <c r="CH250" s="726"/>
      <c r="CI250" s="912" t="s">
        <v>130</v>
      </c>
      <c r="CJ250" s="715"/>
      <c r="CK250" s="602"/>
    </row>
    <row r="251" spans="1:89" ht="18.75" hidden="1" outlineLevel="1">
      <c r="A251" s="325" t="s">
        <v>91</v>
      </c>
      <c r="B251" s="149">
        <f>COUNTIF(A244,$B$1)</f>
        <v>0</v>
      </c>
      <c r="C251" s="327"/>
      <c r="D251" s="328"/>
      <c r="E251" s="328"/>
      <c r="F251" s="328"/>
      <c r="G251" s="329"/>
      <c r="H251" s="152">
        <f>SUMIF(A232:A238,$B$1,H232:H238)</f>
        <v>0</v>
      </c>
      <c r="I251" s="329"/>
      <c r="J251" s="329"/>
      <c r="K251" s="329"/>
      <c r="L251" s="153">
        <f ca="1">SUMIF(A232:A238,$B$1,L232:L238)</f>
        <v>0</v>
      </c>
      <c r="M251" s="329"/>
      <c r="N251" s="329"/>
      <c r="O251" s="329"/>
      <c r="P251" s="329"/>
      <c r="Q251" s="329"/>
      <c r="R251" s="329"/>
      <c r="S251" s="329"/>
      <c r="T251" s="329"/>
      <c r="U251" s="329"/>
      <c r="V251" s="328"/>
      <c r="W251" s="328"/>
      <c r="X251" s="328"/>
      <c r="Y251" s="329"/>
      <c r="Z251" s="329"/>
      <c r="AA251" s="328"/>
      <c r="AB251" s="328"/>
      <c r="AC251" s="328"/>
      <c r="AD251" s="328"/>
      <c r="AE251" s="331"/>
      <c r="AF251" s="332"/>
      <c r="AG251" s="333"/>
      <c r="AH251" s="329"/>
      <c r="AI251" s="334"/>
      <c r="AJ251" s="335"/>
      <c r="AK251" s="333"/>
      <c r="AL251" s="333"/>
      <c r="AM251" s="329"/>
      <c r="AN251" s="334"/>
      <c r="AO251" s="336">
        <f>COUNTA(AO244:AO250)</f>
        <v>1</v>
      </c>
      <c r="AP251" s="546">
        <f>SUM(AP244:AP250)</f>
        <v>0</v>
      </c>
      <c r="AQ251" s="152">
        <f>SUM(AQ244:AQ250)</f>
        <v>0</v>
      </c>
      <c r="AR251" s="337"/>
      <c r="AS251" s="328"/>
      <c r="AT251" s="328"/>
      <c r="AU251" s="328"/>
      <c r="AV251" s="328"/>
      <c r="AW251" s="328"/>
      <c r="AX251" s="328"/>
      <c r="AY251" s="328"/>
      <c r="AZ251" s="338">
        <f>SUM(AZ244:AZ250)</f>
        <v>0</v>
      </c>
      <c r="BA251" s="338">
        <f>SUM(BA244:BA250)</f>
        <v>0</v>
      </c>
      <c r="BB251" s="338">
        <f>SUM(BB244:BB250)</f>
        <v>0</v>
      </c>
      <c r="BC251" s="221" t="str">
        <f>IF(COUNT(BC244:BC250)=0,"-",AVERAGE(BC244:BC250))</f>
        <v>-</v>
      </c>
      <c r="BD251" s="339"/>
      <c r="BE251" s="165"/>
      <c r="BF251" s="341"/>
      <c r="BG251" s="341"/>
      <c r="BH251" s="895"/>
      <c r="BI251" s="895"/>
      <c r="BJ251" s="895"/>
      <c r="BK251" s="895"/>
      <c r="BL251" s="895"/>
      <c r="BM251" s="895"/>
      <c r="BN251" s="895"/>
      <c r="BO251" s="895"/>
      <c r="BP251" s="163">
        <f>SUM(BP239:BP243)</f>
        <v>0</v>
      </c>
      <c r="BQ251" s="163">
        <f>SUM(BQ239:BQ243)</f>
        <v>0</v>
      </c>
      <c r="BR251" s="708"/>
      <c r="BS251" s="802">
        <f>SUM(BS232:BS240,BS244:BS250)</f>
        <v>0</v>
      </c>
      <c r="BT251" s="709"/>
      <c r="BU251" s="711">
        <f>SUM(BU232:BU240,BU244:BU250)</f>
        <v>0</v>
      </c>
      <c r="BV251" s="712"/>
      <c r="BW251" s="708">
        <f>COUNTA(BW232:BW243)</f>
        <v>0</v>
      </c>
      <c r="BX251" s="802">
        <f>SUM(BX232:BX243)</f>
        <v>0</v>
      </c>
      <c r="BY251" s="803">
        <f>SUM(BY232:BY243)</f>
        <v>0</v>
      </c>
      <c r="BZ251" s="946"/>
      <c r="CA251" s="172"/>
      <c r="CB251" s="947">
        <f>AO251</f>
        <v>1</v>
      </c>
      <c r="CC251" s="947">
        <f>COUNTIF(CC244:CC250,"=0")</f>
        <v>0</v>
      </c>
      <c r="CD251" s="948">
        <f>SUM(COUNTIF(CC232:CC238,"&lt;0"),COUNTIF(CC232:CC238,"&gt;0"))</f>
        <v>0</v>
      </c>
      <c r="CE251" s="949">
        <f>COUNTIF(CE239:CE240,"1")</f>
        <v>0</v>
      </c>
      <c r="CF251" s="950">
        <f>SUM(CF239:CF240)</f>
        <v>0</v>
      </c>
      <c r="CG251" s="951">
        <f>COUNTIF(CG239:CG243,"1")</f>
        <v>0</v>
      </c>
      <c r="CH251" s="952">
        <f>SUM(CH239:CH243)</f>
        <v>0</v>
      </c>
      <c r="CI251" s="953"/>
      <c r="CJ251" s="715"/>
    </row>
    <row r="252" spans="1:89" ht="18.75" hidden="1" outlineLevel="1">
      <c r="A252" s="179" t="s">
        <v>89</v>
      </c>
      <c r="B252" s="180">
        <f>COUNT(A244)</f>
        <v>0</v>
      </c>
      <c r="C252" s="181"/>
      <c r="D252" s="182"/>
      <c r="E252" s="182"/>
      <c r="F252" s="182"/>
      <c r="G252" s="184"/>
      <c r="H252" s="184">
        <f>SUM(H251,H242)</f>
        <v>0</v>
      </c>
      <c r="I252" s="184">
        <f>SUM(I251,I241)</f>
        <v>0</v>
      </c>
      <c r="J252" s="184">
        <f>SUM(J251,J242)</f>
        <v>0</v>
      </c>
      <c r="K252" s="184"/>
      <c r="L252" s="184"/>
      <c r="M252" s="184"/>
      <c r="N252" s="184"/>
      <c r="O252" s="184"/>
      <c r="P252" s="184"/>
      <c r="Q252" s="184"/>
      <c r="R252" s="184"/>
      <c r="S252" s="185"/>
      <c r="T252" s="183"/>
      <c r="U252" s="185"/>
      <c r="V252" s="182"/>
      <c r="W252" s="182"/>
      <c r="X252" s="182"/>
      <c r="Y252" s="183"/>
      <c r="Z252" s="185"/>
      <c r="AA252" s="182"/>
      <c r="AB252" s="182"/>
      <c r="AC252" s="182"/>
      <c r="AD252" s="182"/>
      <c r="AE252" s="186"/>
      <c r="AF252" s="186"/>
      <c r="AG252" s="186"/>
      <c r="AH252" s="184"/>
      <c r="AI252" s="184"/>
      <c r="AJ252" s="186"/>
      <c r="AK252" s="186"/>
      <c r="AL252" s="186"/>
      <c r="AM252" s="184"/>
      <c r="AN252" s="184"/>
      <c r="AO252" s="182">
        <f>SUM(AO251,AO241)</f>
        <v>3</v>
      </c>
      <c r="AP252" s="184">
        <f>SUM(AP251,AP241)</f>
        <v>0</v>
      </c>
      <c r="AQ252" s="182"/>
      <c r="AR252" s="187"/>
      <c r="AS252" s="182"/>
      <c r="AT252" s="182"/>
      <c r="AU252" s="182"/>
      <c r="AV252" s="182"/>
      <c r="AW252" s="182"/>
      <c r="AX252" s="182"/>
      <c r="AY252" s="182"/>
      <c r="AZ252" s="188">
        <f>SUM(AZ251,AZ241)</f>
        <v>0</v>
      </c>
      <c r="BA252" s="188">
        <f>SUM(BA251,BA241)</f>
        <v>0</v>
      </c>
      <c r="BB252" s="188">
        <f>SUM(BB251,BB241)</f>
        <v>0</v>
      </c>
      <c r="BC252" s="229" t="str">
        <f>IF(COUNT(BC232:BC240,BC244:BC250)=0,"-",AVERAGE(BC232:BC240,BC244:BC250))</f>
        <v>-</v>
      </c>
      <c r="BD252" s="188">
        <f>+BD242</f>
        <v>0</v>
      </c>
      <c r="BE252" s="476"/>
      <c r="BF252" s="350"/>
      <c r="BG252" s="350"/>
      <c r="BH252" s="350"/>
      <c r="BI252" s="350"/>
      <c r="BJ252" s="350"/>
      <c r="BK252" s="350"/>
      <c r="BL252" s="350"/>
      <c r="BM252" s="350"/>
      <c r="BN252" s="350"/>
      <c r="BO252" s="350"/>
      <c r="BP252" s="350"/>
      <c r="BQ252" s="350"/>
      <c r="BR252" s="954"/>
      <c r="BS252" s="955"/>
      <c r="BT252" s="955"/>
      <c r="BU252" s="955"/>
      <c r="BV252" s="956">
        <f>SUMIF(BV232:BV250,"",BU232:BU250)</f>
        <v>0</v>
      </c>
      <c r="BW252" s="957"/>
      <c r="BX252" s="958"/>
      <c r="BY252" s="958"/>
      <c r="BZ252" s="959"/>
      <c r="CA252" s="960"/>
      <c r="CB252" s="961">
        <f>SUM(CB244:CB250)</f>
        <v>0</v>
      </c>
      <c r="CC252" s="961">
        <f>SUMIF(CC244:CC250,"=0",CD244:CD250)</f>
        <v>0</v>
      </c>
      <c r="CD252" s="962">
        <f>SUMIF(CC244:CC250,"&lt;&gt;0",CD244:CD250)</f>
        <v>0</v>
      </c>
      <c r="CE252" s="961"/>
      <c r="CF252" s="961"/>
      <c r="CG252" s="961"/>
      <c r="CH252" s="961"/>
      <c r="CI252" s="963"/>
      <c r="CJ252" s="715"/>
    </row>
    <row r="253" spans="1:89" ht="37.5" hidden="1" customHeight="1" outlineLevel="1">
      <c r="A253" s="2147" t="s">
        <v>132</v>
      </c>
      <c r="B253" s="2147"/>
      <c r="C253" s="2147"/>
      <c r="D253" s="2147"/>
      <c r="E253" s="2147"/>
      <c r="F253" s="2147"/>
      <c r="G253" s="2147"/>
      <c r="H253" s="2147"/>
      <c r="I253" s="2147"/>
      <c r="J253" s="2147"/>
      <c r="K253" s="2147"/>
      <c r="L253" s="2147"/>
      <c r="M253" s="2147"/>
      <c r="N253" s="2147"/>
      <c r="O253" s="2147"/>
      <c r="P253" s="2147"/>
      <c r="Q253" s="2147"/>
      <c r="R253" s="2147"/>
      <c r="S253" s="2147"/>
      <c r="T253" s="2147"/>
      <c r="U253" s="2147"/>
      <c r="V253" s="2147"/>
      <c r="W253" s="2147"/>
      <c r="X253" s="2147"/>
      <c r="Y253" s="2147"/>
      <c r="Z253" s="2147"/>
      <c r="AA253" s="2147"/>
      <c r="AB253" s="2147"/>
      <c r="AC253" s="2147"/>
      <c r="AD253" s="2147"/>
      <c r="AE253" s="2147"/>
      <c r="AF253" s="2147"/>
      <c r="AG253" s="2147"/>
      <c r="AH253" s="2147"/>
      <c r="AI253" s="2147"/>
      <c r="AJ253" s="2147"/>
      <c r="AK253" s="2147"/>
      <c r="AL253" s="2147"/>
      <c r="AM253" s="2147"/>
      <c r="AN253" s="2147"/>
      <c r="AO253" s="2147"/>
      <c r="AP253" s="2147"/>
      <c r="AQ253" s="2147"/>
      <c r="AR253" s="2147"/>
      <c r="AS253" s="2147"/>
      <c r="AT253" s="2147"/>
      <c r="AU253" s="2147"/>
      <c r="AV253" s="2147"/>
      <c r="AW253" s="2147"/>
      <c r="AX253" s="2147"/>
      <c r="AY253" s="2147"/>
      <c r="AZ253" s="2147"/>
      <c r="BA253" s="2147"/>
      <c r="BB253" s="2147"/>
      <c r="BC253" s="2147"/>
      <c r="BD253" s="2147"/>
      <c r="BE253" s="2147"/>
      <c r="BF253" s="242"/>
      <c r="BG253" s="241"/>
      <c r="BH253" s="924"/>
      <c r="BI253" s="924"/>
      <c r="BJ253" s="924"/>
      <c r="BK253" s="924"/>
      <c r="BL253" s="924"/>
      <c r="BM253" s="924"/>
      <c r="BN253" s="924"/>
      <c r="BO253" s="924"/>
      <c r="BP253" s="283"/>
      <c r="BQ253" s="264"/>
      <c r="BR253" s="207"/>
      <c r="BS253" s="208"/>
      <c r="BT253" s="208"/>
      <c r="BU253" s="208"/>
      <c r="BV253" s="209"/>
      <c r="BW253" s="207"/>
      <c r="BX253" s="208"/>
      <c r="BY253" s="209"/>
      <c r="BZ253" s="925"/>
      <c r="CA253" s="502"/>
      <c r="CB253" s="502"/>
      <c r="CC253" s="502"/>
      <c r="CD253" s="503"/>
      <c r="CE253" s="926"/>
      <c r="CF253" s="502"/>
      <c r="CG253" s="502"/>
      <c r="CH253" s="503"/>
      <c r="CI253" s="601"/>
      <c r="CJ253" s="715"/>
      <c r="CK253" s="602"/>
    </row>
    <row r="254" spans="1:89" ht="37.5" hidden="1" outlineLevel="1">
      <c r="A254" s="59"/>
      <c r="B254" s="505"/>
      <c r="C254" s="505"/>
      <c r="D254" s="248"/>
      <c r="E254" s="248"/>
      <c r="F254" s="247"/>
      <c r="G254" s="80">
        <f>M254-T254</f>
        <v>0</v>
      </c>
      <c r="H254" s="80">
        <f>M254-T254</f>
        <v>0</v>
      </c>
      <c r="I254" s="80">
        <f>IF($B$2&gt;=A254,($B$2-A254+1)*H254,"-")</f>
        <v>0</v>
      </c>
      <c r="J254" s="80">
        <f>($A$2-A254+1)*H254</f>
        <v>0</v>
      </c>
      <c r="K254" s="271"/>
      <c r="L254" s="80">
        <f ca="1">IF((AE254)&lt;$L$2-DAY($L$2)+1,H254,H254+T254)</f>
        <v>0</v>
      </c>
      <c r="M254" s="63"/>
      <c r="N254" s="71"/>
      <c r="O254" s="71"/>
      <c r="P254" s="71"/>
      <c r="Q254" s="71"/>
      <c r="R254" s="71"/>
      <c r="S254" s="273"/>
      <c r="T254" s="63"/>
      <c r="U254" s="71"/>
      <c r="V254" s="287"/>
      <c r="W254" s="71"/>
      <c r="X254" s="71"/>
      <c r="Y254" s="63"/>
      <c r="Z254" s="71"/>
      <c r="AA254" s="69"/>
      <c r="AB254" s="71"/>
      <c r="AC254" s="72"/>
      <c r="AD254" s="274" t="s">
        <v>133</v>
      </c>
      <c r="AE254" s="906"/>
      <c r="AF254" s="135"/>
      <c r="AG254" s="555"/>
      <c r="AH254" s="74"/>
      <c r="AI254" s="75"/>
      <c r="AJ254" s="818"/>
      <c r="AK254" s="319"/>
      <c r="AL254" s="319"/>
      <c r="AM254" s="74"/>
      <c r="AN254" s="75"/>
      <c r="AO254" s="78"/>
      <c r="AP254" s="74"/>
      <c r="AQ254" s="63"/>
      <c r="AR254" s="257"/>
      <c r="AS254" s="80"/>
      <c r="AT254" s="112"/>
      <c r="AU254" s="252"/>
      <c r="AV254" s="252"/>
      <c r="AW254" s="252"/>
      <c r="AX254" s="258"/>
      <c r="AY254" s="448" t="s">
        <v>84</v>
      </c>
      <c r="AZ254" s="311" t="str">
        <f>IF(AP254&lt;1,"-",AP254-Y254)</f>
        <v>-</v>
      </c>
      <c r="BA254" s="64" t="str">
        <f>IF(AZ254="-","-",($B$2-AO254+1)*AZ254)</f>
        <v>-</v>
      </c>
      <c r="BB254" s="85" t="str">
        <f>IF(AZ254="-","-",AZ254-H254)</f>
        <v>-</v>
      </c>
      <c r="BC254" s="86"/>
      <c r="BD254" s="139">
        <f>IF(AP254&lt;1,IF($B$2&gt;=A254,($A$2-A254+1)*-1*H254,"-"),AZ254*($A$2-AO254+1)-H254*($A$2-A254+1))</f>
        <v>0</v>
      </c>
      <c r="BE254" s="927"/>
      <c r="BF254" s="928"/>
      <c r="BG254" s="90"/>
      <c r="BH254" s="929"/>
      <c r="BI254" s="929"/>
      <c r="BJ254" s="929"/>
      <c r="BK254" s="929"/>
      <c r="BL254" s="929"/>
      <c r="BM254" s="929"/>
      <c r="BN254" s="91" t="str">
        <f t="shared" ref="BN254:BN259" si="48">IF(BH254=0,"-",BH254-AP254)</f>
        <v>-</v>
      </c>
      <c r="BO254" s="91" t="str">
        <f t="shared" ref="BO254:BO259" si="49">IF(BI254=0,"-",BI254-AQ254)</f>
        <v>-</v>
      </c>
      <c r="BP254" s="94" t="str">
        <f t="shared" ref="BP254:BP259" si="50">IF(BN254="-","-",AZ254+BN254)</f>
        <v>-</v>
      </c>
      <c r="BQ254" s="95" t="str">
        <f t="shared" ref="BQ254:BQ259" si="51">IF(BN254="-","-",(($B$2-AO254+1)*(AZ254+BN254)))</f>
        <v>-</v>
      </c>
      <c r="BR254" s="315"/>
      <c r="BS254" s="214"/>
      <c r="BT254" s="131"/>
      <c r="BU254" s="215"/>
      <c r="BV254" s="99"/>
      <c r="BW254" s="215"/>
      <c r="BX254" s="214"/>
      <c r="BY254" s="214"/>
      <c r="BZ254" s="101"/>
      <c r="CA254" s="133"/>
      <c r="CB254" s="103"/>
      <c r="CC254" s="104"/>
      <c r="CD254" s="105"/>
      <c r="CE254" s="930"/>
      <c r="CF254" s="263"/>
      <c r="CG254" s="263"/>
      <c r="CH254" s="931"/>
      <c r="CI254" s="912" t="s">
        <v>130</v>
      </c>
      <c r="CJ254" s="715"/>
      <c r="CK254" s="602"/>
    </row>
    <row r="255" spans="1:89" ht="37.5" hidden="1" outlineLevel="1">
      <c r="A255" s="59"/>
      <c r="B255" s="505"/>
      <c r="C255" s="505"/>
      <c r="D255" s="248"/>
      <c r="E255" s="248"/>
      <c r="F255" s="247"/>
      <c r="G255" s="80">
        <f>M255-T255</f>
        <v>0</v>
      </c>
      <c r="H255" s="80">
        <f>M255-T255</f>
        <v>0</v>
      </c>
      <c r="I255" s="80">
        <f>IF($B$2&gt;=A255,($B$2-A255+1)*H255,"-")</f>
        <v>0</v>
      </c>
      <c r="J255" s="80">
        <f>($A$2-A255+1)*H255</f>
        <v>0</v>
      </c>
      <c r="K255" s="271"/>
      <c r="L255" s="80">
        <f ca="1">IF((AE255)&lt;$L$2-DAY($L$2)+1,H255,H255+T255)</f>
        <v>0</v>
      </c>
      <c r="M255" s="63"/>
      <c r="N255" s="71"/>
      <c r="O255" s="71"/>
      <c r="P255" s="71"/>
      <c r="Q255" s="71"/>
      <c r="R255" s="71"/>
      <c r="S255" s="273"/>
      <c r="T255" s="63"/>
      <c r="U255" s="71"/>
      <c r="V255" s="287"/>
      <c r="W255" s="71"/>
      <c r="X255" s="71"/>
      <c r="Y255" s="63"/>
      <c r="Z255" s="71"/>
      <c r="AA255" s="287"/>
      <c r="AB255" s="71"/>
      <c r="AC255" s="72"/>
      <c r="AD255" s="274" t="s">
        <v>133</v>
      </c>
      <c r="AE255" s="906"/>
      <c r="AF255" s="135"/>
      <c r="AG255" s="555"/>
      <c r="AH255" s="939"/>
      <c r="AI255" s="940"/>
      <c r="AJ255" s="135"/>
      <c r="AK255" s="255"/>
      <c r="AL255" s="319"/>
      <c r="AM255" s="74"/>
      <c r="AN255" s="75"/>
      <c r="AO255" s="78"/>
      <c r="AP255" s="74"/>
      <c r="AQ255" s="63"/>
      <c r="AR255" s="257"/>
      <c r="AS255" s="80"/>
      <c r="AT255" s="112"/>
      <c r="AU255" s="252"/>
      <c r="AV255" s="252"/>
      <c r="AW255" s="252"/>
      <c r="AX255" s="258"/>
      <c r="AY255" s="448" t="s">
        <v>84</v>
      </c>
      <c r="AZ255" s="311" t="str">
        <f>IF(AP255&lt;1,"-",AP255-Y255)</f>
        <v>-</v>
      </c>
      <c r="BA255" s="64" t="str">
        <f>IF(AZ255="-","-",($B$2-AO255+1)*AZ255)</f>
        <v>-</v>
      </c>
      <c r="BB255" s="85" t="str">
        <f>IF(AZ255="-","-",AZ255-H255)</f>
        <v>-</v>
      </c>
      <c r="BC255" s="86"/>
      <c r="BD255" s="139">
        <f>IF(AP255&lt;1,IF($B$2&gt;=A255,($A$2-A255+1)*-1*H255,"-"),AZ255*($A$2-AO255+1)-H255*($A$2-A255+1))</f>
        <v>0</v>
      </c>
      <c r="BE255" s="927"/>
      <c r="BF255" s="928"/>
      <c r="BG255" s="90"/>
      <c r="BH255" s="929"/>
      <c r="BI255" s="929"/>
      <c r="BJ255" s="929"/>
      <c r="BK255" s="929"/>
      <c r="BL255" s="929"/>
      <c r="BM255" s="929"/>
      <c r="BN255" s="91" t="str">
        <f t="shared" si="48"/>
        <v>-</v>
      </c>
      <c r="BO255" s="91" t="str">
        <f t="shared" si="49"/>
        <v>-</v>
      </c>
      <c r="BP255" s="94" t="str">
        <f t="shared" si="50"/>
        <v>-</v>
      </c>
      <c r="BQ255" s="95" t="str">
        <f t="shared" si="51"/>
        <v>-</v>
      </c>
      <c r="BR255" s="315"/>
      <c r="BS255" s="214"/>
      <c r="BT255" s="131"/>
      <c r="BU255" s="215"/>
      <c r="BV255" s="99"/>
      <c r="BW255" s="215"/>
      <c r="BX255" s="214"/>
      <c r="BY255" s="214"/>
      <c r="BZ255" s="101"/>
      <c r="CA255" s="133"/>
      <c r="CB255" s="103"/>
      <c r="CC255" s="104"/>
      <c r="CD255" s="105"/>
      <c r="CE255" s="930"/>
      <c r="CF255" s="263"/>
      <c r="CG255" s="263"/>
      <c r="CH255" s="931"/>
      <c r="CI255" s="912" t="s">
        <v>130</v>
      </c>
      <c r="CJ255" s="715"/>
      <c r="CK255" s="602"/>
    </row>
    <row r="256" spans="1:89" ht="18.75" hidden="1" outlineLevel="1">
      <c r="A256" s="310"/>
      <c r="B256" s="247"/>
      <c r="C256" s="247"/>
      <c r="D256" s="62"/>
      <c r="E256" s="62"/>
      <c r="F256" s="247"/>
      <c r="G256" s="80"/>
      <c r="H256" s="80"/>
      <c r="I256" s="80"/>
      <c r="J256" s="80"/>
      <c r="K256" s="271"/>
      <c r="L256" s="65"/>
      <c r="M256" s="68"/>
      <c r="N256" s="68"/>
      <c r="O256" s="70"/>
      <c r="P256" s="70"/>
      <c r="Q256" s="70"/>
      <c r="R256" s="70"/>
      <c r="S256" s="249"/>
      <c r="T256" s="250"/>
      <c r="U256" s="70"/>
      <c r="V256" s="70"/>
      <c r="W256" s="70"/>
      <c r="X256" s="70"/>
      <c r="Y256" s="64"/>
      <c r="Z256" s="70"/>
      <c r="AA256" s="70"/>
      <c r="AB256" s="70"/>
      <c r="AC256" s="251"/>
      <c r="AD256" s="274"/>
      <c r="AE256" s="724"/>
      <c r="AF256" s="135"/>
      <c r="AG256" s="555"/>
      <c r="AH256" s="74"/>
      <c r="AI256" s="75"/>
      <c r="AJ256" s="319"/>
      <c r="AK256" s="288"/>
      <c r="AL256" s="77"/>
      <c r="AM256" s="74"/>
      <c r="AN256" s="75"/>
      <c r="AO256" s="78"/>
      <c r="AP256" s="74"/>
      <c r="AQ256" s="63"/>
      <c r="AR256" s="74"/>
      <c r="AS256" s="80"/>
      <c r="AT256" s="68"/>
      <c r="AU256" s="68"/>
      <c r="AV256" s="68"/>
      <c r="AW256" s="68"/>
      <c r="AX256" s="258"/>
      <c r="AY256" s="843"/>
      <c r="AZ256" s="311" t="str">
        <f>IF(AP256&lt;1,"-",AP256-Y256)</f>
        <v>-</v>
      </c>
      <c r="BA256" s="64" t="str">
        <f>IF(AZ256="-","-",($B$2-AO256+1)*AZ256)</f>
        <v>-</v>
      </c>
      <c r="BB256" s="64" t="str">
        <f>IF(AZ256="-","-",AZ256-H256)</f>
        <v>-</v>
      </c>
      <c r="BC256" s="515"/>
      <c r="BD256" s="516"/>
      <c r="BE256" s="933"/>
      <c r="BF256" s="703"/>
      <c r="BG256" s="90"/>
      <c r="BH256" s="457"/>
      <c r="BI256" s="450"/>
      <c r="BJ256" s="450"/>
      <c r="BK256" s="91"/>
      <c r="BL256" s="91"/>
      <c r="BM256" s="91"/>
      <c r="BN256" s="91" t="str">
        <f t="shared" si="48"/>
        <v>-</v>
      </c>
      <c r="BO256" s="91" t="str">
        <f t="shared" si="49"/>
        <v>-</v>
      </c>
      <c r="BP256" s="94" t="str">
        <f t="shared" si="50"/>
        <v>-</v>
      </c>
      <c r="BQ256" s="95" t="str">
        <f t="shared" si="51"/>
        <v>-</v>
      </c>
      <c r="BR256" s="130"/>
      <c r="BS256" s="214"/>
      <c r="BT256" s="131"/>
      <c r="BU256" s="215"/>
      <c r="BV256" s="99" t="str">
        <f>IF(AO256&lt;1,"",(AO256))</f>
        <v/>
      </c>
      <c r="BW256" s="385"/>
      <c r="BX256" s="214"/>
      <c r="BY256" s="214"/>
      <c r="BZ256" s="101"/>
      <c r="CA256" s="102"/>
      <c r="CB256" s="103"/>
      <c r="CC256" s="104"/>
      <c r="CD256" s="105"/>
      <c r="CE256" s="106"/>
      <c r="CF256" s="107"/>
      <c r="CG256" s="108"/>
      <c r="CH256" s="377"/>
      <c r="CI256" s="860" t="s">
        <v>130</v>
      </c>
      <c r="CJ256" s="715"/>
    </row>
    <row r="257" spans="1:89" ht="18.75" hidden="1" outlineLevel="1">
      <c r="A257" s="310"/>
      <c r="B257" s="247"/>
      <c r="C257" s="247"/>
      <c r="D257" s="62"/>
      <c r="E257" s="62"/>
      <c r="F257" s="247"/>
      <c r="G257" s="80"/>
      <c r="H257" s="80"/>
      <c r="I257" s="80"/>
      <c r="J257" s="80"/>
      <c r="K257" s="271"/>
      <c r="L257" s="65"/>
      <c r="M257" s="68"/>
      <c r="N257" s="68"/>
      <c r="O257" s="70"/>
      <c r="P257" s="70"/>
      <c r="Q257" s="70"/>
      <c r="R257" s="70"/>
      <c r="S257" s="249"/>
      <c r="T257" s="250"/>
      <c r="U257" s="70"/>
      <c r="V257" s="70"/>
      <c r="W257" s="70"/>
      <c r="X257" s="70"/>
      <c r="Y257" s="250"/>
      <c r="Z257" s="70"/>
      <c r="AA257" s="70"/>
      <c r="AB257" s="70"/>
      <c r="AC257" s="251"/>
      <c r="AD257" s="274"/>
      <c r="AE257" s="724"/>
      <c r="AF257" s="135"/>
      <c r="AG257" s="555"/>
      <c r="AH257" s="74"/>
      <c r="AI257" s="75"/>
      <c r="AJ257" s="319"/>
      <c r="AK257" s="288"/>
      <c r="AL257" s="77"/>
      <c r="AM257" s="74"/>
      <c r="AN257" s="75"/>
      <c r="AO257" s="78"/>
      <c r="AP257" s="74"/>
      <c r="AQ257" s="63"/>
      <c r="AR257" s="74"/>
      <c r="AS257" s="80"/>
      <c r="AT257" s="68"/>
      <c r="AU257" s="68"/>
      <c r="AV257" s="68"/>
      <c r="AW257" s="68"/>
      <c r="AX257" s="258"/>
      <c r="AY257" s="843"/>
      <c r="AZ257" s="311" t="str">
        <f>IF(AP257&lt;1,"-",AP257-Y257)</f>
        <v>-</v>
      </c>
      <c r="BA257" s="64" t="str">
        <f>IF(AZ257="-","-",($B$2-AO257+1)*AZ257)</f>
        <v>-</v>
      </c>
      <c r="BB257" s="64" t="str">
        <f>IF(AZ257="-","-",AZ257-H257)</f>
        <v>-</v>
      </c>
      <c r="BC257" s="515"/>
      <c r="BD257" s="516"/>
      <c r="BE257" s="934"/>
      <c r="BF257" s="703"/>
      <c r="BG257" s="90"/>
      <c r="BH257" s="457"/>
      <c r="BI257" s="450"/>
      <c r="BJ257" s="450"/>
      <c r="BK257" s="91"/>
      <c r="BL257" s="91"/>
      <c r="BM257" s="91"/>
      <c r="BN257" s="91" t="str">
        <f t="shared" si="48"/>
        <v>-</v>
      </c>
      <c r="BO257" s="91" t="str">
        <f t="shared" si="49"/>
        <v>-</v>
      </c>
      <c r="BP257" s="94" t="str">
        <f t="shared" si="50"/>
        <v>-</v>
      </c>
      <c r="BQ257" s="95" t="str">
        <f t="shared" si="51"/>
        <v>-</v>
      </c>
      <c r="BR257" s="130"/>
      <c r="BS257" s="214"/>
      <c r="BT257" s="131"/>
      <c r="BU257" s="215"/>
      <c r="BV257" s="99" t="str">
        <f>IF(AO257&lt;1,"",(AO257))</f>
        <v/>
      </c>
      <c r="BW257" s="385"/>
      <c r="BX257" s="214"/>
      <c r="BY257" s="214"/>
      <c r="BZ257" s="101"/>
      <c r="CA257" s="102"/>
      <c r="CB257" s="103"/>
      <c r="CC257" s="104"/>
      <c r="CD257" s="105"/>
      <c r="CE257" s="106"/>
      <c r="CF257" s="107"/>
      <c r="CG257" s="108"/>
      <c r="CH257" s="377"/>
      <c r="CI257" s="860" t="s">
        <v>130</v>
      </c>
      <c r="CJ257" s="715"/>
    </row>
    <row r="258" spans="1:89" ht="23.25" hidden="1" outlineLevel="1">
      <c r="A258" s="484"/>
      <c r="B258" s="270"/>
      <c r="C258" s="270"/>
      <c r="D258" s="62"/>
      <c r="E258" s="914"/>
      <c r="F258" s="915"/>
      <c r="G258" s="80"/>
      <c r="H258" s="80"/>
      <c r="I258" s="80"/>
      <c r="J258" s="80"/>
      <c r="K258" s="66"/>
      <c r="L258" s="285"/>
      <c r="M258" s="63"/>
      <c r="N258" s="71"/>
      <c r="O258" s="71"/>
      <c r="P258" s="71"/>
      <c r="Q258" s="71"/>
      <c r="R258" s="71"/>
      <c r="S258" s="273"/>
      <c r="T258" s="63"/>
      <c r="U258" s="71"/>
      <c r="V258" s="287"/>
      <c r="W258" s="71"/>
      <c r="X258" s="71"/>
      <c r="Y258" s="63"/>
      <c r="Z258" s="71"/>
      <c r="AA258" s="287"/>
      <c r="AB258" s="71"/>
      <c r="AC258" s="72"/>
      <c r="AD258" s="274"/>
      <c r="AE258" s="906"/>
      <c r="AF258" s="135"/>
      <c r="AG258" s="555"/>
      <c r="AH258" s="939"/>
      <c r="AI258" s="940"/>
      <c r="AJ258" s="135"/>
      <c r="AK258" s="77"/>
      <c r="AL258" s="276"/>
      <c r="AM258" s="74"/>
      <c r="AN258" s="75"/>
      <c r="AO258" s="78"/>
      <c r="AP258" s="74"/>
      <c r="AQ258" s="256"/>
      <c r="AR258" s="74"/>
      <c r="AS258" s="66"/>
      <c r="AT258" s="247"/>
      <c r="AU258" s="247"/>
      <c r="AV258" s="68"/>
      <c r="AW258" s="68"/>
      <c r="AX258" s="258"/>
      <c r="AY258" s="843"/>
      <c r="AZ258" s="311"/>
      <c r="BA258" s="64"/>
      <c r="BB258" s="64"/>
      <c r="BC258" s="515"/>
      <c r="BD258" s="516"/>
      <c r="BE258" s="927"/>
      <c r="BF258" s="748"/>
      <c r="BG258" s="90"/>
      <c r="BH258" s="91"/>
      <c r="BI258" s="91"/>
      <c r="BJ258" s="91"/>
      <c r="BK258" s="91"/>
      <c r="BL258" s="91"/>
      <c r="BM258" s="91"/>
      <c r="BN258" s="91" t="str">
        <f t="shared" si="48"/>
        <v>-</v>
      </c>
      <c r="BO258" s="91" t="str">
        <f t="shared" si="49"/>
        <v>-</v>
      </c>
      <c r="BP258" s="94" t="str">
        <f t="shared" si="50"/>
        <v>-</v>
      </c>
      <c r="BQ258" s="95" t="str">
        <f t="shared" si="51"/>
        <v>-</v>
      </c>
      <c r="BR258" s="130"/>
      <c r="BS258" s="214"/>
      <c r="BT258" s="131"/>
      <c r="BU258" s="215"/>
      <c r="BV258" s="99"/>
      <c r="BW258" s="385"/>
      <c r="BX258" s="214"/>
      <c r="BY258" s="214"/>
      <c r="BZ258" s="101"/>
      <c r="CA258" s="102"/>
      <c r="CB258" s="103"/>
      <c r="CC258" s="104"/>
      <c r="CD258" s="105"/>
      <c r="CE258" s="627"/>
      <c r="CF258" s="107"/>
      <c r="CG258" s="108"/>
      <c r="CH258" s="726"/>
      <c r="CI258" s="912" t="s">
        <v>130</v>
      </c>
      <c r="CJ258" s="715"/>
      <c r="CK258" s="602"/>
    </row>
    <row r="259" spans="1:89" ht="23.25" hidden="1" outlineLevel="1">
      <c r="A259" s="484"/>
      <c r="B259" s="270"/>
      <c r="C259" s="270"/>
      <c r="D259" s="62"/>
      <c r="E259" s="914"/>
      <c r="F259" s="915"/>
      <c r="G259" s="80"/>
      <c r="H259" s="80"/>
      <c r="I259" s="80"/>
      <c r="J259" s="80"/>
      <c r="K259" s="66"/>
      <c r="L259" s="285"/>
      <c r="M259" s="63"/>
      <c r="N259" s="71"/>
      <c r="O259" s="71"/>
      <c r="P259" s="71"/>
      <c r="Q259" s="71"/>
      <c r="R259" s="71"/>
      <c r="S259" s="273"/>
      <c r="T259" s="63"/>
      <c r="U259" s="71"/>
      <c r="V259" s="287"/>
      <c r="W259" s="71"/>
      <c r="X259" s="71"/>
      <c r="Y259" s="63"/>
      <c r="Z259" s="71"/>
      <c r="AA259" s="287"/>
      <c r="AB259" s="71"/>
      <c r="AC259" s="72"/>
      <c r="AD259" s="274"/>
      <c r="AE259" s="906"/>
      <c r="AF259" s="135"/>
      <c r="AG259" s="555"/>
      <c r="AH259" s="939"/>
      <c r="AI259" s="940"/>
      <c r="AJ259" s="135"/>
      <c r="AK259" s="77"/>
      <c r="AL259" s="276"/>
      <c r="AM259" s="74"/>
      <c r="AN259" s="75"/>
      <c r="AO259" s="78"/>
      <c r="AP259" s="74"/>
      <c r="AQ259" s="256"/>
      <c r="AR259" s="74"/>
      <c r="AS259" s="66"/>
      <c r="AT259" s="247"/>
      <c r="AU259" s="247"/>
      <c r="AV259" s="68"/>
      <c r="AW259" s="68"/>
      <c r="AX259" s="258"/>
      <c r="AY259" s="843"/>
      <c r="AZ259" s="84"/>
      <c r="BA259" s="64"/>
      <c r="BB259" s="64"/>
      <c r="BC259" s="515"/>
      <c r="BD259" s="516"/>
      <c r="BE259" s="927"/>
      <c r="BF259" s="748"/>
      <c r="BG259" s="90"/>
      <c r="BH259" s="91"/>
      <c r="BI259" s="91"/>
      <c r="BJ259" s="91"/>
      <c r="BK259" s="91"/>
      <c r="BL259" s="91"/>
      <c r="BM259" s="91"/>
      <c r="BN259" s="91" t="str">
        <f t="shared" si="48"/>
        <v>-</v>
      </c>
      <c r="BO259" s="91" t="str">
        <f t="shared" si="49"/>
        <v>-</v>
      </c>
      <c r="BP259" s="94" t="str">
        <f t="shared" si="50"/>
        <v>-</v>
      </c>
      <c r="BQ259" s="95" t="str">
        <f t="shared" si="51"/>
        <v>-</v>
      </c>
      <c r="BR259" s="130"/>
      <c r="BS259" s="131"/>
      <c r="BT259" s="131"/>
      <c r="BU259" s="131"/>
      <c r="BV259" s="99"/>
      <c r="BW259" s="385"/>
      <c r="BX259" s="214"/>
      <c r="BY259" s="214"/>
      <c r="BZ259" s="101"/>
      <c r="CA259" s="102"/>
      <c r="CB259" s="103"/>
      <c r="CC259" s="104"/>
      <c r="CD259" s="105"/>
      <c r="CE259" s="627"/>
      <c r="CF259" s="107"/>
      <c r="CG259" s="108"/>
      <c r="CH259" s="726"/>
      <c r="CI259" s="912" t="s">
        <v>130</v>
      </c>
      <c r="CJ259" s="715"/>
      <c r="CK259" s="602"/>
    </row>
    <row r="260" spans="1:89" ht="23.25" hidden="1" outlineLevel="1">
      <c r="A260" s="484"/>
      <c r="B260" s="270"/>
      <c r="C260" s="270"/>
      <c r="D260" s="62"/>
      <c r="E260" s="914"/>
      <c r="F260" s="915"/>
      <c r="G260" s="80"/>
      <c r="H260" s="80"/>
      <c r="I260" s="80"/>
      <c r="J260" s="80"/>
      <c r="K260" s="66"/>
      <c r="L260" s="285"/>
      <c r="M260" s="63"/>
      <c r="N260" s="71"/>
      <c r="O260" s="71"/>
      <c r="P260" s="71"/>
      <c r="Q260" s="71"/>
      <c r="R260" s="71"/>
      <c r="S260" s="273"/>
      <c r="T260" s="63"/>
      <c r="U260" s="71"/>
      <c r="V260" s="287"/>
      <c r="W260" s="71"/>
      <c r="X260" s="71"/>
      <c r="Y260" s="63"/>
      <c r="Z260" s="71"/>
      <c r="AA260" s="287"/>
      <c r="AB260" s="71"/>
      <c r="AC260" s="72"/>
      <c r="AD260" s="274"/>
      <c r="AE260" s="906"/>
      <c r="AF260" s="135"/>
      <c r="AG260" s="555"/>
      <c r="AH260" s="939"/>
      <c r="AI260" s="940"/>
      <c r="AJ260" s="135"/>
      <c r="AK260" s="77"/>
      <c r="AL260" s="276"/>
      <c r="AM260" s="74"/>
      <c r="AN260" s="75"/>
      <c r="AO260" s="78"/>
      <c r="AP260" s="289"/>
      <c r="AQ260" s="256"/>
      <c r="AR260" s="74"/>
      <c r="AS260" s="66"/>
      <c r="AT260" s="247"/>
      <c r="AU260" s="247"/>
      <c r="AV260" s="68"/>
      <c r="AW260" s="68"/>
      <c r="AX260" s="258"/>
      <c r="AY260" s="448"/>
      <c r="AZ260" s="84"/>
      <c r="BA260" s="64"/>
      <c r="BB260" s="64"/>
      <c r="BC260" s="515"/>
      <c r="BD260" s="516"/>
      <c r="BE260" s="927"/>
      <c r="BF260" s="748"/>
      <c r="BG260" s="90"/>
      <c r="BH260" s="91"/>
      <c r="BI260" s="91"/>
      <c r="BJ260" s="91"/>
      <c r="BK260" s="91"/>
      <c r="BL260" s="91"/>
      <c r="BM260" s="91"/>
      <c r="BN260" s="91"/>
      <c r="BO260" s="91"/>
      <c r="BP260" s="94"/>
      <c r="BQ260" s="95"/>
      <c r="BR260" s="130"/>
      <c r="BS260" s="131"/>
      <c r="BT260" s="131"/>
      <c r="BU260" s="131"/>
      <c r="BV260" s="99" t="str">
        <f>IF(AO260&lt;1,"",(AO260))</f>
        <v/>
      </c>
      <c r="BW260" s="385"/>
      <c r="BX260" s="214"/>
      <c r="BY260" s="214"/>
      <c r="BZ260" s="101"/>
      <c r="CA260" s="102"/>
      <c r="CB260" s="103"/>
      <c r="CC260" s="104"/>
      <c r="CD260" s="105"/>
      <c r="CE260" s="627"/>
      <c r="CF260" s="107"/>
      <c r="CG260" s="108"/>
      <c r="CH260" s="726"/>
      <c r="CI260" s="912" t="s">
        <v>130</v>
      </c>
      <c r="CJ260" s="715"/>
      <c r="CK260" s="602"/>
    </row>
    <row r="261" spans="1:89" ht="12.75" hidden="1" customHeight="1" outlineLevel="1">
      <c r="A261" s="325" t="s">
        <v>91</v>
      </c>
      <c r="B261" s="149"/>
      <c r="C261" s="327"/>
      <c r="D261" s="328"/>
      <c r="E261" s="328"/>
      <c r="F261" s="328"/>
      <c r="G261" s="329"/>
      <c r="H261" s="152">
        <f>SUMIF(A242:A248,$B$1,H242:H248)</f>
        <v>0</v>
      </c>
      <c r="I261" s="329"/>
      <c r="J261" s="329"/>
      <c r="K261" s="329"/>
      <c r="L261" s="153">
        <f>SUMIF(A242:A248,$B$1,L242:L248)</f>
        <v>0</v>
      </c>
      <c r="M261" s="329"/>
      <c r="N261" s="329"/>
      <c r="O261" s="329"/>
      <c r="P261" s="329"/>
      <c r="Q261" s="329"/>
      <c r="R261" s="329"/>
      <c r="S261" s="329"/>
      <c r="T261" s="329"/>
      <c r="U261" s="329"/>
      <c r="V261" s="328"/>
      <c r="W261" s="328"/>
      <c r="X261" s="328"/>
      <c r="Y261" s="329"/>
      <c r="Z261" s="329"/>
      <c r="AA261" s="328"/>
      <c r="AB261" s="328"/>
      <c r="AC261" s="328"/>
      <c r="AD261" s="328"/>
      <c r="AE261" s="331"/>
      <c r="AF261" s="332"/>
      <c r="AG261" s="333"/>
      <c r="AH261" s="329"/>
      <c r="AI261" s="334"/>
      <c r="AJ261" s="335"/>
      <c r="AK261" s="333"/>
      <c r="AL261" s="333"/>
      <c r="AM261" s="329"/>
      <c r="AN261" s="334"/>
      <c r="AO261" s="336">
        <f>COUNTA(AO254:AO260)</f>
        <v>0</v>
      </c>
      <c r="AP261" s="546">
        <f>SUM(AP254:AP260)</f>
        <v>0</v>
      </c>
      <c r="AQ261" s="152">
        <f>SUM(AQ254:AQ260)</f>
        <v>0</v>
      </c>
      <c r="AR261" s="337"/>
      <c r="AS261" s="328"/>
      <c r="AT261" s="328"/>
      <c r="AU261" s="328"/>
      <c r="AV261" s="328"/>
      <c r="AW261" s="328"/>
      <c r="AX261" s="328"/>
      <c r="AY261" s="328"/>
      <c r="AZ261" s="338">
        <f>SUM(AZ254:AZ260)</f>
        <v>0</v>
      </c>
      <c r="BA261" s="338">
        <f>SUM(BA254:BA260)</f>
        <v>0</v>
      </c>
      <c r="BB261" s="338">
        <f>SUM(BB254:BB260)</f>
        <v>0</v>
      </c>
      <c r="BC261" s="221" t="str">
        <f>IF(COUNT(BC254:BC260)=0,"-",AVERAGE(BC254:BC260))</f>
        <v>-</v>
      </c>
      <c r="BD261" s="339"/>
      <c r="BE261" s="165"/>
      <c r="BF261" s="341"/>
      <c r="BG261" s="341"/>
      <c r="BH261" s="895"/>
      <c r="BI261" s="895"/>
      <c r="BJ261" s="895"/>
      <c r="BK261" s="895"/>
      <c r="BL261" s="895"/>
      <c r="BM261" s="895"/>
      <c r="BN261" s="895"/>
      <c r="BO261" s="895"/>
      <c r="BP261" s="163">
        <f>SUM(BP249:BP253)</f>
        <v>0</v>
      </c>
      <c r="BQ261" s="163">
        <f>SUM(BQ249:BQ253)</f>
        <v>0</v>
      </c>
      <c r="BR261" s="708"/>
      <c r="BS261" s="802">
        <f>SUM(BS242:BS250,BS254:BS260)</f>
        <v>0</v>
      </c>
      <c r="BT261" s="709"/>
      <c r="BU261" s="711">
        <f>SUM(BU242:BU250,BU254:BU260)</f>
        <v>0</v>
      </c>
      <c r="BV261" s="712"/>
      <c r="BW261" s="964">
        <f>SUM(BW254:BW260)</f>
        <v>0</v>
      </c>
      <c r="BX261" s="802">
        <f>SUM(BX242:BX253)</f>
        <v>0</v>
      </c>
      <c r="BY261" s="803">
        <f>SUM(BY242:BY253)</f>
        <v>0</v>
      </c>
      <c r="BZ261" s="946"/>
      <c r="CA261" s="172"/>
      <c r="CB261" s="947">
        <f>AO261</f>
        <v>0</v>
      </c>
      <c r="CC261" s="947">
        <f>COUNTIF(CC254:CC260,"=0")</f>
        <v>0</v>
      </c>
      <c r="CD261" s="948">
        <f>SUM(COUNTIF(CC242:CC248,"&lt;0"),COUNTIF(CC242:CC248,"&gt;0"))</f>
        <v>0</v>
      </c>
      <c r="CE261" s="949">
        <f>COUNTIF(CE249:CE250,"1")</f>
        <v>0</v>
      </c>
      <c r="CF261" s="950">
        <f>SUM(CF249:CF250)</f>
        <v>0</v>
      </c>
      <c r="CG261" s="951">
        <f>COUNTIF(CG249:CG253,"1")</f>
        <v>0</v>
      </c>
      <c r="CH261" s="952">
        <f>SUM(CH249:CH253)</f>
        <v>0</v>
      </c>
      <c r="CI261" s="953"/>
      <c r="CJ261" s="715"/>
    </row>
    <row r="262" spans="1:89" ht="12.75" hidden="1" customHeight="1" outlineLevel="1">
      <c r="A262" s="179" t="s">
        <v>89</v>
      </c>
      <c r="B262" s="348">
        <f>IF(A254=0,0,(COUNT(A254:A260)))</f>
        <v>0</v>
      </c>
      <c r="C262" s="181"/>
      <c r="D262" s="182"/>
      <c r="E262" s="182"/>
      <c r="F262" s="182"/>
      <c r="G262" s="184"/>
      <c r="H262" s="184">
        <f>SUM(H261,H252)</f>
        <v>0</v>
      </c>
      <c r="I262" s="184">
        <f>SUM(I261,I251)</f>
        <v>0</v>
      </c>
      <c r="J262" s="184">
        <f>SUM(J261,J252)</f>
        <v>0</v>
      </c>
      <c r="K262" s="184"/>
      <c r="L262" s="184"/>
      <c r="M262" s="184"/>
      <c r="N262" s="184"/>
      <c r="O262" s="184"/>
      <c r="P262" s="184"/>
      <c r="Q262" s="184"/>
      <c r="R262" s="184"/>
      <c r="S262" s="185"/>
      <c r="T262" s="183"/>
      <c r="U262" s="185"/>
      <c r="V262" s="182"/>
      <c r="W262" s="182"/>
      <c r="X262" s="182"/>
      <c r="Y262" s="183"/>
      <c r="Z262" s="185"/>
      <c r="AA262" s="182"/>
      <c r="AB262" s="182"/>
      <c r="AC262" s="182"/>
      <c r="AD262" s="182"/>
      <c r="AE262" s="186"/>
      <c r="AF262" s="186"/>
      <c r="AG262" s="186"/>
      <c r="AH262" s="184">
        <f>COUNT(AI254:AI260)</f>
        <v>0</v>
      </c>
      <c r="AI262" s="184">
        <f>SUM(AI254:AI260)</f>
        <v>0</v>
      </c>
      <c r="AJ262" s="186"/>
      <c r="AK262" s="186"/>
      <c r="AL262" s="186"/>
      <c r="AM262" s="184"/>
      <c r="AN262" s="184"/>
      <c r="AO262" s="182">
        <f>SUM(AO261,AO251)</f>
        <v>1</v>
      </c>
      <c r="AP262" s="184">
        <f>SUM(AP261,AP251)</f>
        <v>0</v>
      </c>
      <c r="AQ262" s="182"/>
      <c r="AR262" s="187"/>
      <c r="AS262" s="182"/>
      <c r="AT262" s="182"/>
      <c r="AU262" s="182"/>
      <c r="AV262" s="182"/>
      <c r="AW262" s="182"/>
      <c r="AX262" s="182"/>
      <c r="AY262" s="182"/>
      <c r="AZ262" s="188">
        <f>SUM(AZ261,AZ251)</f>
        <v>0</v>
      </c>
      <c r="BA262" s="188">
        <f>SUM(BA261,BA251)</f>
        <v>0</v>
      </c>
      <c r="BB262" s="188">
        <f>SUM(BB261,BB251)</f>
        <v>0</v>
      </c>
      <c r="BC262" s="229" t="str">
        <f>IF(COUNT(BC242:BC250,BC254:BC260)=0,"-",AVERAGE(BC242:BC250,BC254:BC260))</f>
        <v>-</v>
      </c>
      <c r="BD262" s="188">
        <f>+BD252</f>
        <v>0</v>
      </c>
      <c r="BE262" s="476"/>
      <c r="BF262" s="350"/>
      <c r="BG262" s="350"/>
      <c r="BH262" s="350"/>
      <c r="BI262" s="350"/>
      <c r="BJ262" s="350"/>
      <c r="BK262" s="350"/>
      <c r="BL262" s="350"/>
      <c r="BM262" s="350"/>
      <c r="BN262" s="350"/>
      <c r="BO262" s="350"/>
      <c r="BP262" s="350"/>
      <c r="BQ262" s="350"/>
      <c r="BR262" s="954"/>
      <c r="BS262" s="955"/>
      <c r="BT262" s="955"/>
      <c r="BU262" s="955"/>
      <c r="BV262" s="956">
        <f>SUMIF(BV242:BV260,"",BU242:BU260)</f>
        <v>0</v>
      </c>
      <c r="BW262" s="957"/>
      <c r="BX262" s="958"/>
      <c r="BY262" s="958"/>
      <c r="BZ262" s="959"/>
      <c r="CA262" s="960"/>
      <c r="CB262" s="961">
        <f>SUM(CB254:CB260)</f>
        <v>0</v>
      </c>
      <c r="CC262" s="961">
        <f>SUMIF(CC254:CC260,"=0",CD254:CD260)</f>
        <v>0</v>
      </c>
      <c r="CD262" s="962">
        <f>SUMIF(CC254:CC260,"&lt;&gt;0",CD254:CD260)</f>
        <v>0</v>
      </c>
      <c r="CE262" s="961"/>
      <c r="CF262" s="961"/>
      <c r="CG262" s="961"/>
      <c r="CH262" s="961"/>
      <c r="CI262" s="963"/>
      <c r="CJ262" s="715"/>
    </row>
    <row r="263" spans="1:89" ht="33" hidden="1" customHeight="1" outlineLevel="1" collapsed="1">
      <c r="A263" s="2144" t="s">
        <v>134</v>
      </c>
      <c r="B263" s="2144"/>
      <c r="C263" s="2144"/>
      <c r="D263" s="2144"/>
      <c r="E263" s="2144"/>
      <c r="F263" s="21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4"/>
      <c r="X263" s="44"/>
      <c r="Y263" s="44"/>
      <c r="Z263" s="44"/>
      <c r="AA263" s="44"/>
      <c r="AB263" s="44"/>
      <c r="AC263" s="44"/>
      <c r="AD263" s="43"/>
      <c r="AE263" s="43"/>
      <c r="AF263" s="44"/>
      <c r="AG263" s="44"/>
      <c r="AH263" s="44"/>
      <c r="AI263" s="44"/>
      <c r="AJ263" s="44"/>
      <c r="AK263" s="44"/>
      <c r="AL263" s="44"/>
      <c r="AM263" s="44"/>
      <c r="AN263" s="44"/>
      <c r="AO263" s="44"/>
      <c r="AP263" s="44"/>
      <c r="AQ263" s="44"/>
      <c r="AR263" s="44"/>
      <c r="AS263" s="44"/>
      <c r="AT263" s="44"/>
      <c r="AU263" s="44"/>
      <c r="AV263" s="44"/>
      <c r="AW263" s="44"/>
      <c r="AX263" s="44"/>
      <c r="AY263" s="44"/>
      <c r="AZ263" s="44"/>
      <c r="BA263" s="44"/>
      <c r="BB263" s="44"/>
      <c r="BC263" s="44"/>
      <c r="BD263" s="45"/>
      <c r="BE263" s="45"/>
      <c r="BF263" s="46"/>
      <c r="BG263" s="46"/>
      <c r="BH263" s="46"/>
      <c r="BI263" s="46"/>
      <c r="BJ263" s="46"/>
      <c r="BK263" s="46"/>
      <c r="BL263" s="46"/>
      <c r="BM263" s="46"/>
      <c r="BN263" s="46"/>
      <c r="BO263" s="46"/>
      <c r="BP263" s="46"/>
      <c r="BQ263" s="495"/>
      <c r="BR263" s="610"/>
      <c r="BS263" s="610"/>
      <c r="BT263" s="610"/>
      <c r="BU263" s="554"/>
      <c r="BV263" s="610"/>
      <c r="BW263" s="610"/>
      <c r="BX263" s="610"/>
      <c r="BY263" s="610"/>
      <c r="BZ263" s="52"/>
      <c r="CA263" s="53"/>
      <c r="CB263" s="53"/>
      <c r="CC263" s="53"/>
      <c r="CD263" s="206"/>
      <c r="CE263" s="365"/>
      <c r="CF263" s="365"/>
      <c r="CG263" s="365"/>
      <c r="CH263" s="365"/>
      <c r="CI263" s="369"/>
      <c r="CJ263" s="715"/>
    </row>
    <row r="264" spans="1:89" ht="33" hidden="1" customHeight="1" outlineLevel="1">
      <c r="A264" s="59"/>
      <c r="B264" s="247"/>
      <c r="C264" s="247"/>
      <c r="D264" s="612"/>
      <c r="E264" s="62"/>
      <c r="F264" s="247"/>
      <c r="G264" s="80"/>
      <c r="H264" s="80"/>
      <c r="I264" s="80"/>
      <c r="J264" s="80"/>
      <c r="K264" s="271"/>
      <c r="L264" s="80"/>
      <c r="M264" s="68"/>
      <c r="N264" s="68"/>
      <c r="O264" s="372"/>
      <c r="P264" s="70"/>
      <c r="Q264" s="70"/>
      <c r="R264" s="70"/>
      <c r="S264" s="66"/>
      <c r="T264" s="64"/>
      <c r="U264" s="70"/>
      <c r="V264" s="372"/>
      <c r="W264" s="70"/>
      <c r="X264" s="70"/>
      <c r="Y264" s="64"/>
      <c r="Z264" s="70"/>
      <c r="AA264" s="372"/>
      <c r="AB264" s="70"/>
      <c r="AC264" s="251"/>
      <c r="AD264" s="274"/>
      <c r="AE264" s="319"/>
      <c r="AF264" s="288"/>
      <c r="AG264" s="454"/>
      <c r="AH264" s="74"/>
      <c r="AI264" s="75"/>
      <c r="AJ264" s="1692"/>
      <c r="AK264" s="276"/>
      <c r="AL264" s="288"/>
      <c r="AM264" s="74"/>
      <c r="AN264" s="75"/>
      <c r="AO264" s="78"/>
      <c r="AP264" s="74"/>
      <c r="AQ264" s="256"/>
      <c r="AR264" s="257"/>
      <c r="AS264" s="80"/>
      <c r="AT264" s="247"/>
      <c r="AU264" s="68"/>
      <c r="AV264" s="68"/>
      <c r="AW264" s="68"/>
      <c r="AX264" s="258"/>
      <c r="AY264" s="83"/>
      <c r="AZ264" s="311"/>
      <c r="BA264" s="64"/>
      <c r="BB264" s="63"/>
      <c r="BC264" s="86"/>
      <c r="BD264" s="139"/>
      <c r="BE264" s="511"/>
      <c r="BF264" s="703"/>
      <c r="BG264" s="716"/>
      <c r="BH264" s="91"/>
      <c r="BI264" s="91"/>
      <c r="BJ264" s="93"/>
      <c r="BK264" s="748"/>
      <c r="BL264" s="748"/>
      <c r="BM264" s="748"/>
      <c r="BN264" s="91"/>
      <c r="BO264" s="91"/>
      <c r="BP264" s="94"/>
      <c r="BQ264" s="95"/>
      <c r="BR264" s="315"/>
      <c r="BS264" s="214"/>
      <c r="BT264" s="131"/>
      <c r="BU264" s="215"/>
      <c r="BV264" s="99"/>
      <c r="BW264" s="215"/>
      <c r="BX264" s="214"/>
      <c r="BY264" s="621"/>
      <c r="BZ264" s="101"/>
      <c r="CA264" s="102"/>
      <c r="CB264" s="103"/>
      <c r="CC264" s="104"/>
      <c r="CD264" s="105"/>
      <c r="CE264" s="718"/>
      <c r="CF264" s="719"/>
      <c r="CG264" s="719"/>
      <c r="CH264" s="720"/>
      <c r="CI264" s="721"/>
      <c r="CJ264" s="111"/>
      <c r="CK264" s="111"/>
    </row>
    <row r="265" spans="1:89" ht="33" hidden="1" customHeight="1" outlineLevel="1">
      <c r="A265" s="59"/>
      <c r="B265" s="247"/>
      <c r="C265" s="247"/>
      <c r="D265" s="612"/>
      <c r="E265" s="62"/>
      <c r="F265" s="247"/>
      <c r="G265" s="80"/>
      <c r="H265" s="80"/>
      <c r="I265" s="80"/>
      <c r="J265" s="80"/>
      <c r="K265" s="271"/>
      <c r="L265" s="80"/>
      <c r="M265" s="252"/>
      <c r="N265" s="252"/>
      <c r="O265" s="69"/>
      <c r="P265" s="71"/>
      <c r="Q265" s="71"/>
      <c r="R265" s="71"/>
      <c r="S265" s="66"/>
      <c r="T265" s="630"/>
      <c r="U265" s="631"/>
      <c r="V265" s="69"/>
      <c r="W265" s="635"/>
      <c r="X265" s="635"/>
      <c r="Y265" s="630"/>
      <c r="Z265" s="631"/>
      <c r="AA265" s="372"/>
      <c r="AB265" s="635"/>
      <c r="AC265" s="537"/>
      <c r="AD265" s="274"/>
      <c r="AE265" s="253"/>
      <c r="AF265" s="135"/>
      <c r="AG265" s="454"/>
      <c r="AH265" s="74"/>
      <c r="AI265" s="75"/>
      <c r="AJ265" s="76"/>
      <c r="AK265" s="276"/>
      <c r="AL265" s="288"/>
      <c r="AM265" s="74"/>
      <c r="AN265" s="75"/>
      <c r="AO265" s="78"/>
      <c r="AP265" s="74"/>
      <c r="AQ265" s="63"/>
      <c r="AR265" s="257"/>
      <c r="AS265" s="80"/>
      <c r="AT265" s="68"/>
      <c r="AU265" s="68"/>
      <c r="AV265" s="68"/>
      <c r="AW265" s="68"/>
      <c r="AX265" s="258"/>
      <c r="AY265" s="83"/>
      <c r="AZ265" s="311"/>
      <c r="BA265" s="64"/>
      <c r="BB265" s="63"/>
      <c r="BC265" s="86"/>
      <c r="BD265" s="139"/>
      <c r="BE265" s="511"/>
      <c r="BF265" s="703"/>
      <c r="BG265" s="841"/>
      <c r="BH265" s="93"/>
      <c r="BI265" s="91"/>
      <c r="BJ265" s="93"/>
      <c r="BK265" s="748"/>
      <c r="BL265" s="748"/>
      <c r="BM265" s="748"/>
      <c r="BN265" s="91"/>
      <c r="BO265" s="91"/>
      <c r="BP265" s="94"/>
      <c r="BQ265" s="95"/>
      <c r="BR265" s="315"/>
      <c r="BS265" s="214"/>
      <c r="BT265" s="131"/>
      <c r="BU265" s="215"/>
      <c r="BV265" s="99"/>
      <c r="BW265" s="215"/>
      <c r="BX265" s="214"/>
      <c r="BY265" s="621"/>
      <c r="BZ265" s="101"/>
      <c r="CA265" s="102"/>
      <c r="CB265" s="103"/>
      <c r="CC265" s="104"/>
      <c r="CD265" s="105"/>
      <c r="CE265" s="718"/>
      <c r="CF265" s="719"/>
      <c r="CG265" s="719"/>
      <c r="CH265" s="720"/>
      <c r="CI265" s="721"/>
      <c r="CJ265" s="111"/>
      <c r="CK265" s="111"/>
    </row>
    <row r="266" spans="1:89" ht="33" hidden="1" customHeight="1" outlineLevel="1">
      <c r="A266" s="59"/>
      <c r="B266" s="247"/>
      <c r="C266" s="247"/>
      <c r="D266" s="612"/>
      <c r="E266" s="62"/>
      <c r="F266" s="247"/>
      <c r="G266" s="80"/>
      <c r="H266" s="80"/>
      <c r="I266" s="80"/>
      <c r="J266" s="80"/>
      <c r="K266" s="271"/>
      <c r="L266" s="80"/>
      <c r="M266" s="68"/>
      <c r="N266" s="68"/>
      <c r="O266" s="69"/>
      <c r="P266" s="70"/>
      <c r="Q266" s="70"/>
      <c r="R266" s="70"/>
      <c r="S266" s="249"/>
      <c r="T266" s="64"/>
      <c r="U266" s="70"/>
      <c r="V266" s="372"/>
      <c r="W266" s="70"/>
      <c r="X266" s="70"/>
      <c r="Y266" s="842"/>
      <c r="Z266" s="70"/>
      <c r="AA266" s="372"/>
      <c r="AB266" s="70"/>
      <c r="AC266" s="251"/>
      <c r="AD266" s="274"/>
      <c r="AE266" s="319"/>
      <c r="AF266" s="288"/>
      <c r="AG266" s="454"/>
      <c r="AH266" s="74"/>
      <c r="AI266" s="75"/>
      <c r="AJ266" s="319"/>
      <c r="AK266" s="276"/>
      <c r="AL266" s="288"/>
      <c r="AM266" s="74"/>
      <c r="AN266" s="75"/>
      <c r="AO266" s="78"/>
      <c r="AP266" s="74"/>
      <c r="AQ266" s="63"/>
      <c r="AR266" s="257"/>
      <c r="AS266" s="112"/>
      <c r="AT266" s="68"/>
      <c r="AU266" s="68"/>
      <c r="AV266" s="68"/>
      <c r="AW266" s="68"/>
      <c r="AX266" s="258"/>
      <c r="AY266" s="83"/>
      <c r="AZ266" s="311"/>
      <c r="BA266" s="64"/>
      <c r="BB266" s="63"/>
      <c r="BC266" s="86"/>
      <c r="BD266" s="139"/>
      <c r="BE266" s="511"/>
      <c r="BF266" s="703"/>
      <c r="BG266" s="513"/>
      <c r="BH266" s="93"/>
      <c r="BI266" s="91"/>
      <c r="BJ266" s="93"/>
      <c r="BK266" s="748"/>
      <c r="BL266" s="748"/>
      <c r="BM266" s="748"/>
      <c r="BN266" s="91"/>
      <c r="BO266" s="91"/>
      <c r="BP266" s="94"/>
      <c r="BQ266" s="95"/>
      <c r="BR266" s="315"/>
      <c r="BS266" s="214"/>
      <c r="BT266" s="131"/>
      <c r="BU266" s="215"/>
      <c r="BV266" s="99"/>
      <c r="BW266" s="215"/>
      <c r="BX266" s="214"/>
      <c r="BY266" s="621"/>
      <c r="BZ266" s="101"/>
      <c r="CA266" s="102"/>
      <c r="CB266" s="103"/>
      <c r="CC266" s="104"/>
      <c r="CD266" s="105"/>
      <c r="CE266" s="718"/>
      <c r="CF266" s="719"/>
      <c r="CG266" s="719"/>
      <c r="CH266" s="720"/>
      <c r="CI266" s="721"/>
      <c r="CJ266" s="111"/>
    </row>
    <row r="267" spans="1:89" ht="12.75" hidden="1" customHeight="1" outlineLevel="2">
      <c r="A267" s="310"/>
      <c r="B267" s="247"/>
      <c r="C267" s="247"/>
      <c r="D267" s="62"/>
      <c r="E267" s="62"/>
      <c r="F267" s="247"/>
      <c r="G267" s="80"/>
      <c r="H267" s="80"/>
      <c r="I267" s="80"/>
      <c r="J267" s="80"/>
      <c r="K267" s="271"/>
      <c r="L267" s="65"/>
      <c r="M267" s="68"/>
      <c r="N267" s="68"/>
      <c r="O267" s="70"/>
      <c r="P267" s="70"/>
      <c r="Q267" s="70"/>
      <c r="R267" s="70"/>
      <c r="S267" s="249"/>
      <c r="T267" s="250"/>
      <c r="U267" s="70"/>
      <c r="V267" s="70"/>
      <c r="W267" s="70"/>
      <c r="X267" s="70"/>
      <c r="Y267" s="250"/>
      <c r="Z267" s="70"/>
      <c r="AA267" s="70"/>
      <c r="AB267" s="70"/>
      <c r="AC267" s="251"/>
      <c r="AD267" s="274"/>
      <c r="AE267" s="724"/>
      <c r="AF267" s="135"/>
      <c r="AG267" s="555"/>
      <c r="AH267" s="74"/>
      <c r="AI267" s="75"/>
      <c r="AJ267" s="319"/>
      <c r="AK267" s="288"/>
      <c r="AL267" s="77"/>
      <c r="AM267" s="74"/>
      <c r="AN267" s="75"/>
      <c r="AO267" s="78"/>
      <c r="AP267" s="74"/>
      <c r="AQ267" s="63"/>
      <c r="AR267" s="74"/>
      <c r="AS267" s="80"/>
      <c r="AT267" s="68"/>
      <c r="AU267" s="68"/>
      <c r="AV267" s="68"/>
      <c r="AW267" s="68"/>
      <c r="AX267" s="258"/>
      <c r="AY267" s="843"/>
      <c r="AZ267" s="311"/>
      <c r="BA267" s="64"/>
      <c r="BB267" s="64"/>
      <c r="BC267" s="515"/>
      <c r="BD267" s="516"/>
      <c r="BE267" s="934"/>
      <c r="BF267" s="703"/>
      <c r="BG267" s="90"/>
      <c r="BH267" s="457"/>
      <c r="BI267" s="450"/>
      <c r="BJ267" s="450"/>
      <c r="BK267" s="91"/>
      <c r="BL267" s="91"/>
      <c r="BM267" s="91"/>
      <c r="BN267" s="91"/>
      <c r="BO267" s="91"/>
      <c r="BP267" s="94"/>
      <c r="BQ267" s="95"/>
      <c r="BR267" s="130"/>
      <c r="BS267" s="214"/>
      <c r="BT267" s="131"/>
      <c r="BU267" s="215"/>
      <c r="BV267" s="99"/>
      <c r="BW267" s="385"/>
      <c r="BX267" s="214"/>
      <c r="BY267" s="214"/>
      <c r="BZ267" s="101"/>
      <c r="CA267" s="102"/>
      <c r="CB267" s="103"/>
      <c r="CC267" s="104"/>
      <c r="CD267" s="105"/>
      <c r="CE267" s="106"/>
      <c r="CF267" s="107"/>
      <c r="CG267" s="108"/>
      <c r="CH267" s="377"/>
      <c r="CI267" s="860"/>
      <c r="CJ267" s="715"/>
    </row>
    <row r="268" spans="1:89" ht="12.75" hidden="1" customHeight="1" outlineLevel="2">
      <c r="A268" s="484"/>
      <c r="B268" s="270"/>
      <c r="C268" s="270"/>
      <c r="D268" s="62"/>
      <c r="E268" s="914"/>
      <c r="F268" s="915"/>
      <c r="G268" s="80"/>
      <c r="H268" s="80"/>
      <c r="I268" s="80"/>
      <c r="J268" s="80"/>
      <c r="K268" s="66"/>
      <c r="L268" s="285"/>
      <c r="M268" s="63"/>
      <c r="N268" s="71"/>
      <c r="O268" s="71"/>
      <c r="P268" s="71"/>
      <c r="Q268" s="71"/>
      <c r="R268" s="71"/>
      <c r="S268" s="273"/>
      <c r="T268" s="63"/>
      <c r="U268" s="71"/>
      <c r="V268" s="287"/>
      <c r="W268" s="71"/>
      <c r="X268" s="71"/>
      <c r="Y268" s="63"/>
      <c r="Z268" s="71"/>
      <c r="AA268" s="287"/>
      <c r="AB268" s="71"/>
      <c r="AC268" s="72"/>
      <c r="AD268" s="274"/>
      <c r="AE268" s="906"/>
      <c r="AF268" s="135"/>
      <c r="AG268" s="555"/>
      <c r="AH268" s="939"/>
      <c r="AI268" s="940"/>
      <c r="AJ268" s="135"/>
      <c r="AK268" s="77"/>
      <c r="AL268" s="276"/>
      <c r="AM268" s="74"/>
      <c r="AN268" s="75"/>
      <c r="AO268" s="78"/>
      <c r="AP268" s="74"/>
      <c r="AQ268" s="256"/>
      <c r="AR268" s="74"/>
      <c r="AS268" s="66"/>
      <c r="AT268" s="247"/>
      <c r="AU268" s="247"/>
      <c r="AV268" s="68"/>
      <c r="AW268" s="68"/>
      <c r="AX268" s="258"/>
      <c r="AY268" s="843"/>
      <c r="AZ268" s="311"/>
      <c r="BA268" s="64"/>
      <c r="BB268" s="64"/>
      <c r="BC268" s="515"/>
      <c r="BD268" s="516"/>
      <c r="BE268" s="927"/>
      <c r="BF268" s="748"/>
      <c r="BG268" s="90"/>
      <c r="BH268" s="91"/>
      <c r="BI268" s="91"/>
      <c r="BJ268" s="91"/>
      <c r="BK268" s="91"/>
      <c r="BL268" s="91"/>
      <c r="BM268" s="91"/>
      <c r="BN268" s="91" t="str">
        <f t="shared" ref="BN268:BN269" si="52">IF(BH268=0,"-",BH268-AP268)</f>
        <v>-</v>
      </c>
      <c r="BO268" s="91" t="str">
        <f t="shared" ref="BO268:BO269" si="53">IF(BI268=0,"-",BI268-AQ268)</f>
        <v>-</v>
      </c>
      <c r="BP268" s="94" t="str">
        <f t="shared" ref="BP268:BP269" si="54">IF(BN268="-","-",AZ268+BN268)</f>
        <v>-</v>
      </c>
      <c r="BQ268" s="95" t="str">
        <f t="shared" ref="BQ268:BQ269" si="55">IF(BN268="-","-",(($B$2-AO268+1)*(AZ268+BN268)))</f>
        <v>-</v>
      </c>
      <c r="BR268" s="130"/>
      <c r="BS268" s="214"/>
      <c r="BT268" s="131"/>
      <c r="BU268" s="215"/>
      <c r="BV268" s="99"/>
      <c r="BW268" s="385"/>
      <c r="BX268" s="214"/>
      <c r="BY268" s="214"/>
      <c r="BZ268" s="101"/>
      <c r="CA268" s="102"/>
      <c r="CB268" s="103"/>
      <c r="CC268" s="104"/>
      <c r="CD268" s="105"/>
      <c r="CE268" s="627"/>
      <c r="CF268" s="107"/>
      <c r="CG268" s="108"/>
      <c r="CH268" s="726"/>
      <c r="CI268" s="912" t="s">
        <v>130</v>
      </c>
      <c r="CJ268" s="715"/>
      <c r="CK268" s="602"/>
    </row>
    <row r="269" spans="1:89" ht="12.75" hidden="1" customHeight="1" outlineLevel="2">
      <c r="A269" s="484"/>
      <c r="B269" s="270"/>
      <c r="C269" s="270"/>
      <c r="D269" s="62"/>
      <c r="E269" s="914"/>
      <c r="F269" s="915"/>
      <c r="G269" s="80"/>
      <c r="H269" s="80"/>
      <c r="I269" s="80"/>
      <c r="J269" s="80"/>
      <c r="K269" s="66"/>
      <c r="L269" s="285"/>
      <c r="M269" s="63"/>
      <c r="N269" s="71"/>
      <c r="O269" s="71"/>
      <c r="P269" s="71"/>
      <c r="Q269" s="71"/>
      <c r="R269" s="71"/>
      <c r="S269" s="273"/>
      <c r="T269" s="63"/>
      <c r="U269" s="71"/>
      <c r="V269" s="287"/>
      <c r="W269" s="71"/>
      <c r="X269" s="71"/>
      <c r="Y269" s="63"/>
      <c r="Z269" s="71"/>
      <c r="AA269" s="287"/>
      <c r="AB269" s="71"/>
      <c r="AC269" s="72"/>
      <c r="AD269" s="274"/>
      <c r="AE269" s="906"/>
      <c r="AF269" s="135"/>
      <c r="AG269" s="555"/>
      <c r="AH269" s="939"/>
      <c r="AI269" s="940"/>
      <c r="AJ269" s="135"/>
      <c r="AK269" s="77"/>
      <c r="AL269" s="276"/>
      <c r="AM269" s="74"/>
      <c r="AN269" s="75"/>
      <c r="AO269" s="78"/>
      <c r="AP269" s="74"/>
      <c r="AQ269" s="256"/>
      <c r="AR269" s="74"/>
      <c r="AS269" s="66"/>
      <c r="AT269" s="247"/>
      <c r="AU269" s="247"/>
      <c r="AV269" s="68"/>
      <c r="AW269" s="68"/>
      <c r="AX269" s="258"/>
      <c r="AY269" s="843"/>
      <c r="AZ269" s="84"/>
      <c r="BA269" s="64"/>
      <c r="BB269" s="64"/>
      <c r="BC269" s="515"/>
      <c r="BD269" s="516"/>
      <c r="BE269" s="927"/>
      <c r="BF269" s="748"/>
      <c r="BG269" s="90"/>
      <c r="BH269" s="91"/>
      <c r="BI269" s="91"/>
      <c r="BJ269" s="91"/>
      <c r="BK269" s="91"/>
      <c r="BL269" s="91"/>
      <c r="BM269" s="91"/>
      <c r="BN269" s="91" t="str">
        <f t="shared" si="52"/>
        <v>-</v>
      </c>
      <c r="BO269" s="91" t="str">
        <f t="shared" si="53"/>
        <v>-</v>
      </c>
      <c r="BP269" s="94" t="str">
        <f t="shared" si="54"/>
        <v>-</v>
      </c>
      <c r="BQ269" s="95" t="str">
        <f t="shared" si="55"/>
        <v>-</v>
      </c>
      <c r="BR269" s="130"/>
      <c r="BS269" s="131"/>
      <c r="BT269" s="131"/>
      <c r="BU269" s="131"/>
      <c r="BV269" s="99"/>
      <c r="BW269" s="385"/>
      <c r="BX269" s="214"/>
      <c r="BY269" s="214"/>
      <c r="BZ269" s="101"/>
      <c r="CA269" s="102"/>
      <c r="CB269" s="103"/>
      <c r="CC269" s="104"/>
      <c r="CD269" s="105"/>
      <c r="CE269" s="627"/>
      <c r="CF269" s="107"/>
      <c r="CG269" s="108"/>
      <c r="CH269" s="726"/>
      <c r="CI269" s="912" t="s">
        <v>130</v>
      </c>
      <c r="CJ269" s="715"/>
      <c r="CK269" s="602"/>
    </row>
    <row r="270" spans="1:89" ht="12.75" hidden="1" customHeight="1" outlineLevel="2">
      <c r="A270" s="484"/>
      <c r="B270" s="270"/>
      <c r="C270" s="270"/>
      <c r="D270" s="62"/>
      <c r="E270" s="914"/>
      <c r="F270" s="915"/>
      <c r="G270" s="80"/>
      <c r="H270" s="80"/>
      <c r="I270" s="80"/>
      <c r="J270" s="80"/>
      <c r="K270" s="66"/>
      <c r="L270" s="285"/>
      <c r="M270" s="63"/>
      <c r="N270" s="71"/>
      <c r="O270" s="71"/>
      <c r="P270" s="71"/>
      <c r="Q270" s="71"/>
      <c r="R270" s="71"/>
      <c r="S270" s="273"/>
      <c r="T270" s="63"/>
      <c r="U270" s="71"/>
      <c r="V270" s="287"/>
      <c r="W270" s="71"/>
      <c r="X270" s="71"/>
      <c r="Y270" s="63"/>
      <c r="Z270" s="71"/>
      <c r="AA270" s="287"/>
      <c r="AB270" s="71"/>
      <c r="AC270" s="72"/>
      <c r="AD270" s="274"/>
      <c r="AE270" s="906"/>
      <c r="AF270" s="135"/>
      <c r="AG270" s="555"/>
      <c r="AH270" s="939"/>
      <c r="AI270" s="940"/>
      <c r="AJ270" s="135"/>
      <c r="AK270" s="77"/>
      <c r="AL270" s="276"/>
      <c r="AM270" s="74"/>
      <c r="AN270" s="75"/>
      <c r="AO270" s="78"/>
      <c r="AP270" s="289"/>
      <c r="AQ270" s="256"/>
      <c r="AR270" s="74"/>
      <c r="AS270" s="66"/>
      <c r="AT270" s="247"/>
      <c r="AU270" s="247"/>
      <c r="AV270" s="68"/>
      <c r="AW270" s="68"/>
      <c r="AX270" s="258"/>
      <c r="AY270" s="448"/>
      <c r="AZ270" s="84"/>
      <c r="BA270" s="64"/>
      <c r="BB270" s="64"/>
      <c r="BC270" s="515"/>
      <c r="BD270" s="516"/>
      <c r="BE270" s="927"/>
      <c r="BF270" s="748"/>
      <c r="BG270" s="90"/>
      <c r="BH270" s="91"/>
      <c r="BI270" s="91"/>
      <c r="BJ270" s="91"/>
      <c r="BK270" s="91"/>
      <c r="BL270" s="91"/>
      <c r="BM270" s="91"/>
      <c r="BN270" s="91"/>
      <c r="BO270" s="91"/>
      <c r="BP270" s="94"/>
      <c r="BQ270" s="95"/>
      <c r="BR270" s="130"/>
      <c r="BS270" s="131"/>
      <c r="BT270" s="131"/>
      <c r="BU270" s="131"/>
      <c r="BV270" s="99" t="str">
        <f>IF(AO270&lt;1,"",(AO270))</f>
        <v/>
      </c>
      <c r="BW270" s="385"/>
      <c r="BX270" s="214"/>
      <c r="BY270" s="214"/>
      <c r="BZ270" s="101"/>
      <c r="CA270" s="102"/>
      <c r="CB270" s="103"/>
      <c r="CC270" s="104"/>
      <c r="CD270" s="105"/>
      <c r="CE270" s="627"/>
      <c r="CF270" s="107"/>
      <c r="CG270" s="108"/>
      <c r="CH270" s="726"/>
      <c r="CI270" s="912" t="s">
        <v>130</v>
      </c>
      <c r="CJ270" s="715"/>
      <c r="CK270" s="602"/>
    </row>
    <row r="271" spans="1:89" ht="21" hidden="1" customHeight="1" outlineLevel="1">
      <c r="A271" s="325" t="s">
        <v>91</v>
      </c>
      <c r="B271" s="149">
        <f>COUNTIF(A264:A270,$B$1)</f>
        <v>0</v>
      </c>
      <c r="C271" s="327"/>
      <c r="D271" s="328"/>
      <c r="E271" s="328"/>
      <c r="F271" s="328"/>
      <c r="G271" s="329"/>
      <c r="H271" s="152">
        <f>SUMIF(A252:A258,$B$1,H252:H258)</f>
        <v>0</v>
      </c>
      <c r="I271" s="329"/>
      <c r="J271" s="329"/>
      <c r="K271" s="329"/>
      <c r="L271" s="153">
        <f>SUMIF(A252:A258,$B$1,L252:L258)</f>
        <v>0</v>
      </c>
      <c r="M271" s="329"/>
      <c r="N271" s="329"/>
      <c r="O271" s="329"/>
      <c r="P271" s="329"/>
      <c r="Q271" s="329"/>
      <c r="R271" s="329"/>
      <c r="S271" s="329"/>
      <c r="T271" s="329"/>
      <c r="U271" s="329"/>
      <c r="V271" s="328"/>
      <c r="W271" s="328"/>
      <c r="X271" s="328"/>
      <c r="Y271" s="329"/>
      <c r="Z271" s="329"/>
      <c r="AA271" s="328"/>
      <c r="AB271" s="328"/>
      <c r="AC271" s="328"/>
      <c r="AD271" s="328"/>
      <c r="AE271" s="331"/>
      <c r="AF271" s="332"/>
      <c r="AG271" s="333"/>
      <c r="AH271" s="329"/>
      <c r="AI271" s="334"/>
      <c r="AJ271" s="335"/>
      <c r="AK271" s="333"/>
      <c r="AL271" s="333"/>
      <c r="AM271" s="329"/>
      <c r="AN271" s="334"/>
      <c r="AO271" s="336">
        <f>COUNTA(AO264:AO270)</f>
        <v>0</v>
      </c>
      <c r="AP271" s="546">
        <f>SUM(AP264:AP270)</f>
        <v>0</v>
      </c>
      <c r="AQ271" s="152">
        <f>SUM(AQ264:AQ270)</f>
        <v>0</v>
      </c>
      <c r="AR271" s="337"/>
      <c r="AS271" s="328"/>
      <c r="AT271" s="328"/>
      <c r="AU271" s="328"/>
      <c r="AV271" s="328"/>
      <c r="AW271" s="328"/>
      <c r="AX271" s="328"/>
      <c r="AY271" s="328"/>
      <c r="AZ271" s="338">
        <f>SUM(AZ264:AZ270)</f>
        <v>0</v>
      </c>
      <c r="BA271" s="338">
        <f>SUM(BA264:BA270)</f>
        <v>0</v>
      </c>
      <c r="BB271" s="338">
        <f>SUM(BB264:BB270)</f>
        <v>0</v>
      </c>
      <c r="BC271" s="221" t="str">
        <f>IF(COUNT(BC264:BC270)=0,"-",AVERAGE(BC264:BC270))</f>
        <v>-</v>
      </c>
      <c r="BD271" s="339"/>
      <c r="BE271" s="165"/>
      <c r="BF271" s="341"/>
      <c r="BG271" s="341"/>
      <c r="BH271" s="895"/>
      <c r="BI271" s="895"/>
      <c r="BJ271" s="895"/>
      <c r="BK271" s="895"/>
      <c r="BL271" s="895"/>
      <c r="BM271" s="895"/>
      <c r="BN271" s="895"/>
      <c r="BO271" s="895"/>
      <c r="BP271" s="163">
        <f>SUM(BP259:BP263)</f>
        <v>0</v>
      </c>
      <c r="BQ271" s="163">
        <f>SUM(BQ259:BQ263)</f>
        <v>0</v>
      </c>
      <c r="BR271" s="708"/>
      <c r="BS271" s="802">
        <f>SUM(BS252:BS260,BS264:BS270)</f>
        <v>0</v>
      </c>
      <c r="BT271" s="709"/>
      <c r="BU271" s="711">
        <f>SUM(BU252:BU260,BU264:BU270)</f>
        <v>0</v>
      </c>
      <c r="BV271" s="712"/>
      <c r="BW271" s="964">
        <f>SUM(BW264:BW270)</f>
        <v>0</v>
      </c>
      <c r="BX271" s="802">
        <f>SUM(BX252:BX263)</f>
        <v>0</v>
      </c>
      <c r="BY271" s="803">
        <f>SUM(BY252:BY263)</f>
        <v>0</v>
      </c>
      <c r="BZ271" s="946"/>
      <c r="CA271" s="172"/>
      <c r="CB271" s="947">
        <f>AO271</f>
        <v>0</v>
      </c>
      <c r="CC271" s="947">
        <f>COUNTIF(CC264:CC270,"=0")</f>
        <v>0</v>
      </c>
      <c r="CD271" s="948">
        <f>SUM(COUNTIF(CC252:CC258,"&lt;0"),COUNTIF(CC252:CC258,"&gt;0"))</f>
        <v>0</v>
      </c>
      <c r="CE271" s="949">
        <f>COUNTIF(CE259:CE260,"1")</f>
        <v>0</v>
      </c>
      <c r="CF271" s="950">
        <f>SUM(CF259:CF260)</f>
        <v>0</v>
      </c>
      <c r="CG271" s="951">
        <f>COUNTIF(CG259:CG263,"1")</f>
        <v>0</v>
      </c>
      <c r="CH271" s="952">
        <f>SUM(CH259:CH263)</f>
        <v>0</v>
      </c>
      <c r="CI271" s="953"/>
      <c r="CJ271" s="715"/>
    </row>
    <row r="272" spans="1:89" ht="21" hidden="1" customHeight="1" outlineLevel="1">
      <c r="A272" s="179" t="s">
        <v>89</v>
      </c>
      <c r="B272" s="348">
        <f>COUNT(A264:A270)</f>
        <v>0</v>
      </c>
      <c r="C272" s="181"/>
      <c r="D272" s="182"/>
      <c r="E272" s="182"/>
      <c r="F272" s="182"/>
      <c r="G272" s="184"/>
      <c r="H272" s="184">
        <f>SUM(H271,H262)</f>
        <v>0</v>
      </c>
      <c r="I272" s="184">
        <f>SUM(I271,I261)</f>
        <v>0</v>
      </c>
      <c r="J272" s="184">
        <f>SUM(J271,J262)</f>
        <v>0</v>
      </c>
      <c r="K272" s="184"/>
      <c r="L272" s="184"/>
      <c r="M272" s="184"/>
      <c r="N272" s="184"/>
      <c r="O272" s="184"/>
      <c r="P272" s="184"/>
      <c r="Q272" s="184"/>
      <c r="R272" s="184"/>
      <c r="S272" s="185"/>
      <c r="T272" s="183"/>
      <c r="U272" s="185"/>
      <c r="V272" s="182"/>
      <c r="W272" s="182"/>
      <c r="X272" s="182"/>
      <c r="Y272" s="183"/>
      <c r="Z272" s="185"/>
      <c r="AA272" s="182"/>
      <c r="AB272" s="182"/>
      <c r="AC272" s="182"/>
      <c r="AD272" s="182"/>
      <c r="AE272" s="186"/>
      <c r="AF272" s="186"/>
      <c r="AG272" s="186"/>
      <c r="AH272" s="184">
        <f>COUNT(AI264:AI270)</f>
        <v>0</v>
      </c>
      <c r="AI272" s="184">
        <f>SUM(AI264:AI270)</f>
        <v>0</v>
      </c>
      <c r="AJ272" s="186"/>
      <c r="AK272" s="186"/>
      <c r="AL272" s="186"/>
      <c r="AM272" s="184"/>
      <c r="AN272" s="184"/>
      <c r="AO272" s="182">
        <f>SUM(AO271,AO261)</f>
        <v>0</v>
      </c>
      <c r="AP272" s="184">
        <f>SUM(AP271,AP261)</f>
        <v>0</v>
      </c>
      <c r="AQ272" s="182"/>
      <c r="AR272" s="187"/>
      <c r="AS272" s="182"/>
      <c r="AT272" s="182"/>
      <c r="AU272" s="182"/>
      <c r="AV272" s="182"/>
      <c r="AW272" s="182"/>
      <c r="AX272" s="182"/>
      <c r="AY272" s="182"/>
      <c r="AZ272" s="188">
        <f>SUM(AZ271,AZ261)</f>
        <v>0</v>
      </c>
      <c r="BA272" s="188">
        <f>SUM(BA271,BA261)</f>
        <v>0</v>
      </c>
      <c r="BB272" s="188">
        <f>SUM(BB271,BB261)</f>
        <v>0</v>
      </c>
      <c r="BC272" s="229" t="str">
        <f>IF(COUNT(BC252:BC260,BC264:BC270)=0,"-",AVERAGE(BC252:BC260,BC264:BC270))</f>
        <v>-</v>
      </c>
      <c r="BD272" s="188">
        <f>+BD262</f>
        <v>0</v>
      </c>
      <c r="BE272" s="476"/>
      <c r="BF272" s="350"/>
      <c r="BG272" s="350"/>
      <c r="BH272" s="350"/>
      <c r="BI272" s="350"/>
      <c r="BJ272" s="350"/>
      <c r="BK272" s="350"/>
      <c r="BL272" s="350"/>
      <c r="BM272" s="350"/>
      <c r="BN272" s="350"/>
      <c r="BO272" s="350"/>
      <c r="BP272" s="350"/>
      <c r="BQ272" s="350"/>
      <c r="BR272" s="954"/>
      <c r="BS272" s="955"/>
      <c r="BT272" s="955"/>
      <c r="BU272" s="955"/>
      <c r="BV272" s="956">
        <f>SUMIF(BV252:BV270,"",BU252:BU270)</f>
        <v>0</v>
      </c>
      <c r="BW272" s="957"/>
      <c r="BX272" s="958"/>
      <c r="BY272" s="958"/>
      <c r="BZ272" s="959"/>
      <c r="CA272" s="960"/>
      <c r="CB272" s="961">
        <f>SUM(CB264:CB270)</f>
        <v>0</v>
      </c>
      <c r="CC272" s="961">
        <f>SUMIF(CC264:CC270,"=0",CD264:CD270)</f>
        <v>0</v>
      </c>
      <c r="CD272" s="962">
        <f>SUMIF(CC264:CC270,"&lt;&gt;0",CD264:CD270)</f>
        <v>0</v>
      </c>
      <c r="CE272" s="961"/>
      <c r="CF272" s="961"/>
      <c r="CG272" s="961"/>
      <c r="CH272" s="961"/>
      <c r="CI272" s="963"/>
      <c r="CJ272" s="715"/>
    </row>
    <row r="273" spans="4:68" ht="22.5" customHeight="1" collapsed="1">
      <c r="BE273" s="379"/>
      <c r="BF273" s="379"/>
      <c r="BG273" s="379"/>
      <c r="BH273" s="379"/>
      <c r="BI273" s="379"/>
      <c r="BJ273" s="379"/>
      <c r="BK273" s="379"/>
      <c r="BL273" s="379"/>
      <c r="BM273" s="379"/>
      <c r="BN273" s="379"/>
      <c r="BO273" s="379"/>
      <c r="BP273" s="379"/>
    </row>
    <row r="274" spans="4:68" ht="22.5" customHeight="1">
      <c r="BE274" s="379"/>
      <c r="BF274" s="379"/>
      <c r="BG274" s="379"/>
      <c r="BH274" s="379"/>
      <c r="BI274" s="379"/>
      <c r="BJ274" s="379"/>
      <c r="BK274" s="379"/>
      <c r="BL274" s="379"/>
      <c r="BM274" s="379"/>
      <c r="BN274" s="379"/>
      <c r="BO274" s="379"/>
      <c r="BP274" s="379"/>
    </row>
    <row r="275" spans="4:68" ht="22.5" customHeight="1">
      <c r="BE275" s="379"/>
      <c r="BF275" s="379"/>
      <c r="BG275" s="379"/>
      <c r="BH275" s="379"/>
      <c r="BI275" s="379"/>
      <c r="BJ275" s="379"/>
      <c r="BK275" s="379"/>
      <c r="BL275" s="379"/>
      <c r="BM275" s="379"/>
      <c r="BN275" s="379"/>
      <c r="BO275" s="379"/>
      <c r="BP275" s="379"/>
    </row>
    <row r="276" spans="4:68" ht="22.5" customHeight="1">
      <c r="D276" s="1848"/>
      <c r="E276" s="1848"/>
      <c r="F276" s="1849"/>
      <c r="G276" s="1848"/>
      <c r="H276" s="1848"/>
      <c r="I276" s="1848"/>
      <c r="J276" s="1850"/>
      <c r="K276" s="1850"/>
      <c r="L276" s="1850"/>
      <c r="BE276" s="379"/>
      <c r="BF276" s="379"/>
      <c r="BG276" s="379"/>
      <c r="BH276" s="379"/>
      <c r="BI276" s="379"/>
      <c r="BJ276" s="379"/>
      <c r="BK276" s="379"/>
      <c r="BL276" s="379"/>
      <c r="BM276" s="379"/>
      <c r="BN276" s="379"/>
      <c r="BO276" s="379"/>
      <c r="BP276" s="379"/>
    </row>
    <row r="277" spans="4:68" ht="22.5" customHeight="1">
      <c r="BE277" s="379"/>
      <c r="BF277" s="379"/>
      <c r="BG277" s="379"/>
      <c r="BH277" s="379"/>
      <c r="BI277" s="379"/>
      <c r="BJ277" s="379"/>
      <c r="BK277" s="379"/>
      <c r="BL277" s="379"/>
      <c r="BM277" s="379"/>
      <c r="BN277" s="379"/>
      <c r="BO277" s="379"/>
      <c r="BP277" s="379"/>
    </row>
    <row r="278" spans="4:68" ht="22.5" customHeight="1">
      <c r="BE278" s="379"/>
      <c r="BF278" s="379"/>
      <c r="BG278" s="379"/>
      <c r="BH278" s="379"/>
      <c r="BI278" s="379"/>
      <c r="BJ278" s="379"/>
      <c r="BK278" s="379"/>
      <c r="BL278" s="379"/>
      <c r="BM278" s="379"/>
      <c r="BN278" s="379"/>
      <c r="BO278" s="379"/>
      <c r="BP278" s="379"/>
    </row>
    <row r="279" spans="4:68" ht="22.5" customHeight="1">
      <c r="BE279" s="379"/>
      <c r="BF279" s="379"/>
      <c r="BG279" s="379"/>
      <c r="BH279" s="379"/>
      <c r="BI279" s="379"/>
      <c r="BJ279" s="379"/>
      <c r="BK279" s="379"/>
      <c r="BL279" s="379"/>
      <c r="BM279" s="379"/>
      <c r="BN279" s="379"/>
      <c r="BO279" s="379"/>
      <c r="BP279" s="379"/>
    </row>
    <row r="280" spans="4:68" ht="22.5" customHeight="1">
      <c r="BE280" s="379"/>
      <c r="BF280" s="379"/>
      <c r="BG280" s="379"/>
      <c r="BH280" s="379"/>
      <c r="BI280" s="379"/>
      <c r="BJ280" s="379"/>
      <c r="BK280" s="379"/>
      <c r="BL280" s="379"/>
      <c r="BM280" s="379"/>
      <c r="BN280" s="379"/>
      <c r="BO280" s="379"/>
      <c r="BP280" s="379"/>
    </row>
    <row r="281" spans="4:68" ht="22.5" customHeight="1">
      <c r="BE281" s="379"/>
      <c r="BF281" s="379"/>
      <c r="BG281" s="379"/>
      <c r="BH281" s="379"/>
      <c r="BI281" s="379"/>
      <c r="BJ281" s="379"/>
      <c r="BK281" s="379"/>
      <c r="BL281" s="379"/>
      <c r="BM281" s="379"/>
      <c r="BN281" s="379"/>
      <c r="BO281" s="379"/>
      <c r="BP281" s="379"/>
    </row>
    <row r="282" spans="4:68" ht="22.5" customHeight="1">
      <c r="BE282" s="379"/>
      <c r="BF282" s="379"/>
      <c r="BG282" s="379"/>
      <c r="BH282" s="379"/>
      <c r="BI282" s="379"/>
      <c r="BJ282" s="379"/>
      <c r="BK282" s="379"/>
      <c r="BL282" s="379"/>
      <c r="BM282" s="379"/>
      <c r="BN282" s="379"/>
      <c r="BO282" s="379"/>
      <c r="BP282" s="379"/>
    </row>
    <row r="283" spans="4:68" ht="22.5" customHeight="1">
      <c r="BE283" s="379"/>
      <c r="BF283" s="379"/>
      <c r="BG283" s="379"/>
      <c r="BH283" s="379"/>
      <c r="BI283" s="379"/>
      <c r="BJ283" s="379"/>
      <c r="BK283" s="379"/>
      <c r="BL283" s="379"/>
      <c r="BM283" s="379"/>
      <c r="BN283" s="379"/>
      <c r="BO283" s="379"/>
      <c r="BP283" s="379"/>
    </row>
    <row r="284" spans="4:68" ht="22.5" customHeight="1">
      <c r="BE284" s="379"/>
      <c r="BF284" s="379"/>
      <c r="BG284" s="379"/>
      <c r="BH284" s="379"/>
      <c r="BI284" s="379"/>
      <c r="BJ284" s="379"/>
      <c r="BK284" s="379"/>
      <c r="BL284" s="379"/>
      <c r="BM284" s="379"/>
      <c r="BN284" s="379"/>
      <c r="BO284" s="379"/>
      <c r="BP284" s="379"/>
    </row>
    <row r="285" spans="4:68" ht="22.5" customHeight="1">
      <c r="BE285" s="379"/>
      <c r="BF285" s="379"/>
      <c r="BG285" s="379"/>
      <c r="BH285" s="379"/>
      <c r="BI285" s="379"/>
      <c r="BJ285" s="379"/>
      <c r="BK285" s="379"/>
      <c r="BL285" s="379"/>
      <c r="BM285" s="379"/>
      <c r="BN285" s="379"/>
      <c r="BO285" s="379"/>
      <c r="BP285" s="379"/>
    </row>
    <row r="286" spans="4:68" ht="22.5" customHeight="1">
      <c r="BE286" s="379"/>
      <c r="BF286" s="379"/>
      <c r="BG286" s="379"/>
      <c r="BH286" s="379"/>
      <c r="BI286" s="379"/>
      <c r="BJ286" s="379"/>
      <c r="BK286" s="379"/>
      <c r="BL286" s="379"/>
      <c r="BM286" s="379"/>
      <c r="BN286" s="379"/>
      <c r="BO286" s="379"/>
      <c r="BP286" s="379"/>
    </row>
    <row r="287" spans="4:68" ht="22.5" customHeight="1">
      <c r="BE287" s="379"/>
      <c r="BF287" s="379"/>
      <c r="BG287" s="379"/>
      <c r="BH287" s="379"/>
      <c r="BI287" s="379"/>
      <c r="BJ287" s="379"/>
      <c r="BK287" s="379"/>
      <c r="BL287" s="379"/>
      <c r="BM287" s="379"/>
      <c r="BN287" s="379"/>
      <c r="BO287" s="379"/>
      <c r="BP287" s="379"/>
    </row>
    <row r="288" spans="4:68" ht="22.5" customHeight="1">
      <c r="BE288" s="379"/>
      <c r="BF288" s="379"/>
      <c r="BG288" s="379"/>
      <c r="BH288" s="379"/>
      <c r="BI288" s="379"/>
      <c r="BJ288" s="379"/>
      <c r="BK288" s="379"/>
      <c r="BL288" s="379"/>
      <c r="BM288" s="379"/>
      <c r="BN288" s="379"/>
      <c r="BO288" s="379"/>
      <c r="BP288" s="379"/>
    </row>
    <row r="289" spans="57:68" ht="22.5" customHeight="1">
      <c r="BE289" s="379"/>
      <c r="BF289" s="379"/>
      <c r="BG289" s="379"/>
      <c r="BH289" s="379"/>
      <c r="BI289" s="379"/>
      <c r="BJ289" s="379"/>
      <c r="BK289" s="379"/>
      <c r="BL289" s="379"/>
      <c r="BM289" s="379"/>
      <c r="BN289" s="379"/>
      <c r="BO289" s="379"/>
      <c r="BP289" s="379"/>
    </row>
    <row r="290" spans="57:68" ht="22.5" customHeight="1">
      <c r="BE290" s="379"/>
      <c r="BF290" s="379"/>
      <c r="BG290" s="379"/>
      <c r="BH290" s="379"/>
      <c r="BI290" s="379"/>
      <c r="BJ290" s="379"/>
      <c r="BK290" s="379"/>
      <c r="BL290" s="379"/>
      <c r="BM290" s="379"/>
      <c r="BN290" s="379"/>
      <c r="BO290" s="379"/>
      <c r="BP290" s="379"/>
    </row>
    <row r="291" spans="57:68" ht="22.5" customHeight="1">
      <c r="BE291" s="379"/>
      <c r="BF291" s="379"/>
      <c r="BG291" s="379"/>
      <c r="BH291" s="379"/>
      <c r="BI291" s="379"/>
      <c r="BJ291" s="379"/>
      <c r="BK291" s="379"/>
      <c r="BL291" s="379"/>
      <c r="BM291" s="379"/>
      <c r="BN291" s="379"/>
      <c r="BO291" s="379"/>
      <c r="BP291" s="379"/>
    </row>
    <row r="292" spans="57:68" ht="22.5" customHeight="1">
      <c r="BE292" s="379"/>
      <c r="BF292" s="379"/>
      <c r="BG292" s="379"/>
      <c r="BH292" s="379"/>
      <c r="BI292" s="379"/>
      <c r="BJ292" s="379"/>
      <c r="BK292" s="379"/>
      <c r="BL292" s="379"/>
      <c r="BM292" s="379"/>
      <c r="BN292" s="379"/>
      <c r="BO292" s="379"/>
      <c r="BP292" s="379"/>
    </row>
    <row r="293" spans="57:68" ht="22.5" customHeight="1">
      <c r="BE293" s="379"/>
      <c r="BF293" s="379"/>
      <c r="BG293" s="379"/>
      <c r="BH293" s="379"/>
      <c r="BI293" s="379"/>
      <c r="BJ293" s="379"/>
      <c r="BK293" s="379"/>
      <c r="BL293" s="379"/>
      <c r="BM293" s="379"/>
      <c r="BN293" s="379"/>
      <c r="BO293" s="379"/>
      <c r="BP293" s="379"/>
    </row>
    <row r="294" spans="57:68" ht="22.5" customHeight="1">
      <c r="BE294" s="379"/>
      <c r="BF294" s="379"/>
      <c r="BG294" s="379"/>
      <c r="BH294" s="379"/>
      <c r="BI294" s="379"/>
      <c r="BJ294" s="379"/>
      <c r="BK294" s="379"/>
      <c r="BL294" s="379"/>
      <c r="BM294" s="379"/>
      <c r="BN294" s="379"/>
      <c r="BO294" s="379"/>
      <c r="BP294" s="379"/>
    </row>
    <row r="295" spans="57:68" ht="22.5" customHeight="1">
      <c r="BE295" s="379"/>
      <c r="BF295" s="379"/>
      <c r="BG295" s="379"/>
      <c r="BH295" s="379"/>
      <c r="BI295" s="379"/>
      <c r="BJ295" s="379"/>
      <c r="BK295" s="379"/>
      <c r="BL295" s="379"/>
      <c r="BM295" s="379"/>
      <c r="BN295" s="379"/>
      <c r="BO295" s="379"/>
      <c r="BP295" s="379"/>
    </row>
    <row r="296" spans="57:68" ht="22.5" customHeight="1">
      <c r="BE296" s="379"/>
      <c r="BF296" s="379"/>
      <c r="BG296" s="379"/>
      <c r="BH296" s="379"/>
      <c r="BI296" s="379"/>
      <c r="BJ296" s="379"/>
      <c r="BK296" s="379"/>
      <c r="BL296" s="379"/>
      <c r="BM296" s="379"/>
      <c r="BN296" s="379"/>
      <c r="BO296" s="379"/>
      <c r="BP296" s="379"/>
    </row>
    <row r="297" spans="57:68" ht="22.5" customHeight="1">
      <c r="BE297" s="379"/>
      <c r="BF297" s="379"/>
      <c r="BG297" s="379"/>
      <c r="BH297" s="379"/>
      <c r="BI297" s="379"/>
      <c r="BJ297" s="379"/>
      <c r="BK297" s="379"/>
      <c r="BL297" s="379"/>
      <c r="BM297" s="379"/>
      <c r="BN297" s="379"/>
      <c r="BO297" s="379"/>
      <c r="BP297" s="379"/>
    </row>
    <row r="298" spans="57:68" ht="22.5" customHeight="1">
      <c r="BE298" s="379"/>
      <c r="BF298" s="379"/>
      <c r="BG298" s="379"/>
      <c r="BH298" s="379"/>
      <c r="BI298" s="379"/>
      <c r="BJ298" s="379"/>
      <c r="BK298" s="379"/>
      <c r="BL298" s="379"/>
      <c r="BM298" s="379"/>
      <c r="BN298" s="379"/>
      <c r="BO298" s="379"/>
      <c r="BP298" s="379"/>
    </row>
    <row r="299" spans="57:68" ht="22.5" customHeight="1">
      <c r="BE299" s="379"/>
      <c r="BF299" s="379"/>
      <c r="BG299" s="379"/>
      <c r="BH299" s="379"/>
      <c r="BI299" s="379"/>
      <c r="BJ299" s="379"/>
      <c r="BK299" s="379"/>
      <c r="BL299" s="379"/>
      <c r="BM299" s="379"/>
      <c r="BN299" s="379"/>
      <c r="BO299" s="379"/>
      <c r="BP299" s="379"/>
    </row>
    <row r="300" spans="57:68" ht="22.5" customHeight="1">
      <c r="BE300" s="379"/>
      <c r="BF300" s="379"/>
      <c r="BG300" s="379"/>
      <c r="BH300" s="379"/>
      <c r="BI300" s="379"/>
      <c r="BJ300" s="379"/>
      <c r="BK300" s="379"/>
      <c r="BL300" s="379"/>
      <c r="BM300" s="379"/>
      <c r="BN300" s="379"/>
      <c r="BO300" s="379"/>
      <c r="BP300" s="379"/>
    </row>
    <row r="301" spans="57:68" ht="22.5" customHeight="1">
      <c r="BE301" s="379"/>
      <c r="BF301" s="379"/>
      <c r="BG301" s="379"/>
      <c r="BH301" s="379"/>
      <c r="BI301" s="379"/>
      <c r="BJ301" s="379"/>
      <c r="BK301" s="379"/>
      <c r="BL301" s="379"/>
      <c r="BM301" s="379"/>
      <c r="BN301" s="379"/>
      <c r="BO301" s="379"/>
      <c r="BP301" s="379"/>
    </row>
    <row r="302" spans="57:68" ht="22.5" customHeight="1">
      <c r="BE302" s="379"/>
      <c r="BF302" s="379"/>
      <c r="BG302" s="379"/>
      <c r="BH302" s="379"/>
      <c r="BI302" s="379"/>
      <c r="BJ302" s="379"/>
      <c r="BK302" s="379"/>
      <c r="BL302" s="379"/>
      <c r="BM302" s="379"/>
      <c r="BN302" s="379"/>
      <c r="BO302" s="379"/>
      <c r="BP302" s="379"/>
    </row>
    <row r="303" spans="57:68" ht="22.5" customHeight="1">
      <c r="BE303" s="379"/>
      <c r="BF303" s="379"/>
      <c r="BG303" s="379"/>
      <c r="BH303" s="379"/>
      <c r="BI303" s="379"/>
      <c r="BJ303" s="379"/>
      <c r="BK303" s="379"/>
      <c r="BL303" s="379"/>
      <c r="BM303" s="379"/>
      <c r="BN303" s="379"/>
      <c r="BO303" s="379"/>
      <c r="BP303" s="379"/>
    </row>
    <row r="304" spans="57:68" ht="22.5" customHeight="1">
      <c r="BE304" s="379"/>
      <c r="BF304" s="379"/>
      <c r="BG304" s="379"/>
      <c r="BH304" s="379"/>
      <c r="BI304" s="379"/>
      <c r="BJ304" s="379"/>
      <c r="BK304" s="379"/>
      <c r="BL304" s="379"/>
      <c r="BM304" s="379"/>
      <c r="BN304" s="379"/>
      <c r="BO304" s="379"/>
      <c r="BP304" s="379"/>
    </row>
    <row r="305" spans="57:68" ht="22.5" customHeight="1">
      <c r="BE305" s="379"/>
      <c r="BF305" s="379"/>
      <c r="BG305" s="379"/>
      <c r="BH305" s="379"/>
      <c r="BI305" s="379"/>
      <c r="BJ305" s="379"/>
      <c r="BK305" s="379"/>
      <c r="BL305" s="379"/>
      <c r="BM305" s="379"/>
      <c r="BN305" s="379"/>
      <c r="BO305" s="379"/>
      <c r="BP305" s="379"/>
    </row>
    <row r="306" spans="57:68" ht="22.5" customHeight="1">
      <c r="BE306" s="379"/>
      <c r="BF306" s="379"/>
      <c r="BG306" s="379"/>
      <c r="BH306" s="379"/>
      <c r="BI306" s="379"/>
      <c r="BJ306" s="379"/>
      <c r="BK306" s="379"/>
      <c r="BL306" s="379"/>
      <c r="BM306" s="379"/>
      <c r="BN306" s="379"/>
      <c r="BO306" s="379"/>
      <c r="BP306" s="379"/>
    </row>
    <row r="307" spans="57:68" ht="22.5" customHeight="1">
      <c r="BE307" s="379"/>
      <c r="BF307" s="379"/>
      <c r="BG307" s="379"/>
      <c r="BH307" s="379"/>
      <c r="BI307" s="379"/>
      <c r="BJ307" s="379"/>
      <c r="BK307" s="379"/>
      <c r="BL307" s="379"/>
      <c r="BM307" s="379"/>
      <c r="BN307" s="379"/>
      <c r="BO307" s="379"/>
      <c r="BP307" s="379"/>
    </row>
    <row r="308" spans="57:68" ht="22.5" customHeight="1">
      <c r="BE308" s="379"/>
      <c r="BF308" s="379"/>
      <c r="BG308" s="379"/>
      <c r="BH308" s="379"/>
      <c r="BI308" s="379"/>
      <c r="BJ308" s="379"/>
      <c r="BK308" s="379"/>
      <c r="BL308" s="379"/>
      <c r="BM308" s="379"/>
      <c r="BN308" s="379"/>
      <c r="BO308" s="379"/>
      <c r="BP308" s="379"/>
    </row>
    <row r="309" spans="57:68" ht="22.5" customHeight="1">
      <c r="BE309" s="379"/>
      <c r="BF309" s="379"/>
      <c r="BG309" s="379"/>
      <c r="BH309" s="379"/>
      <c r="BI309" s="379"/>
      <c r="BJ309" s="379"/>
      <c r="BK309" s="379"/>
      <c r="BL309" s="379"/>
      <c r="BM309" s="379"/>
      <c r="BN309" s="379"/>
      <c r="BO309" s="379"/>
      <c r="BP309" s="379"/>
    </row>
    <row r="310" spans="57:68" ht="22.5" customHeight="1">
      <c r="BE310" s="379"/>
      <c r="BF310" s="379"/>
      <c r="BG310" s="379"/>
      <c r="BH310" s="379"/>
      <c r="BI310" s="379"/>
      <c r="BJ310" s="379"/>
      <c r="BK310" s="379"/>
      <c r="BL310" s="379"/>
      <c r="BM310" s="379"/>
      <c r="BN310" s="379"/>
      <c r="BO310" s="379"/>
      <c r="BP310" s="379"/>
    </row>
    <row r="311" spans="57:68" ht="22.5" customHeight="1">
      <c r="BE311" s="379"/>
      <c r="BF311" s="379"/>
      <c r="BG311" s="379"/>
      <c r="BH311" s="379"/>
      <c r="BI311" s="379"/>
      <c r="BJ311" s="379"/>
      <c r="BK311" s="379"/>
      <c r="BL311" s="379"/>
      <c r="BM311" s="379"/>
      <c r="BN311" s="379"/>
      <c r="BO311" s="379"/>
      <c r="BP311" s="379"/>
    </row>
    <row r="312" spans="57:68" ht="22.5" customHeight="1">
      <c r="BE312" s="379"/>
      <c r="BF312" s="379"/>
      <c r="BG312" s="379"/>
      <c r="BH312" s="379"/>
      <c r="BI312" s="379"/>
      <c r="BJ312" s="379"/>
      <c r="BK312" s="379"/>
      <c r="BL312" s="379"/>
      <c r="BM312" s="379"/>
      <c r="BN312" s="379"/>
      <c r="BO312" s="379"/>
      <c r="BP312" s="379"/>
    </row>
    <row r="313" spans="57:68" ht="22.5" customHeight="1">
      <c r="BE313" s="379"/>
      <c r="BF313" s="379"/>
      <c r="BG313" s="379"/>
      <c r="BH313" s="379"/>
      <c r="BI313" s="379"/>
      <c r="BJ313" s="379"/>
      <c r="BK313" s="379"/>
      <c r="BL313" s="379"/>
      <c r="BM313" s="379"/>
      <c r="BN313" s="379"/>
      <c r="BO313" s="379"/>
      <c r="BP313" s="379"/>
    </row>
    <row r="314" spans="57:68" ht="22.5" customHeight="1">
      <c r="BE314" s="379"/>
      <c r="BF314" s="379"/>
      <c r="BG314" s="379"/>
      <c r="BH314" s="379"/>
      <c r="BI314" s="379"/>
      <c r="BJ314" s="379"/>
      <c r="BK314" s="379"/>
      <c r="BL314" s="379"/>
      <c r="BM314" s="379"/>
      <c r="BN314" s="379"/>
      <c r="BO314" s="379"/>
      <c r="BP314" s="379"/>
    </row>
    <row r="315" spans="57:68" ht="22.5" customHeight="1">
      <c r="BE315" s="379"/>
      <c r="BF315" s="379"/>
      <c r="BG315" s="379"/>
      <c r="BH315" s="379"/>
      <c r="BI315" s="379"/>
      <c r="BJ315" s="379"/>
      <c r="BK315" s="379"/>
      <c r="BL315" s="379"/>
      <c r="BM315" s="379"/>
      <c r="BN315" s="379"/>
      <c r="BO315" s="379"/>
      <c r="BP315" s="379"/>
    </row>
    <row r="316" spans="57:68" ht="22.5" customHeight="1">
      <c r="BE316" s="379"/>
      <c r="BF316" s="379"/>
      <c r="BG316" s="379"/>
      <c r="BH316" s="379"/>
      <c r="BI316" s="379"/>
      <c r="BJ316" s="379"/>
      <c r="BK316" s="379"/>
      <c r="BL316" s="379"/>
      <c r="BM316" s="379"/>
      <c r="BN316" s="379"/>
      <c r="BO316" s="379"/>
      <c r="BP316" s="379"/>
    </row>
    <row r="317" spans="57:68" ht="22.5" customHeight="1">
      <c r="BE317" s="379"/>
      <c r="BF317" s="379"/>
      <c r="BG317" s="379"/>
      <c r="BH317" s="379"/>
      <c r="BI317" s="379"/>
      <c r="BJ317" s="379"/>
      <c r="BK317" s="379"/>
      <c r="BL317" s="379"/>
      <c r="BM317" s="379"/>
      <c r="BN317" s="379"/>
      <c r="BO317" s="379"/>
      <c r="BP317" s="379"/>
    </row>
    <row r="318" spans="57:68" ht="22.5" customHeight="1">
      <c r="BE318" s="379"/>
      <c r="BF318" s="379"/>
      <c r="BG318" s="379"/>
      <c r="BH318" s="379"/>
      <c r="BI318" s="379"/>
      <c r="BJ318" s="379"/>
      <c r="BK318" s="379"/>
      <c r="BL318" s="379"/>
      <c r="BM318" s="379"/>
      <c r="BN318" s="379"/>
      <c r="BO318" s="379"/>
      <c r="BP318" s="379"/>
    </row>
    <row r="319" spans="57:68" ht="22.5" customHeight="1">
      <c r="BE319" s="379"/>
      <c r="BF319" s="379"/>
      <c r="BG319" s="379"/>
      <c r="BH319" s="379"/>
      <c r="BI319" s="379"/>
      <c r="BJ319" s="379"/>
      <c r="BK319" s="379"/>
      <c r="BL319" s="379"/>
      <c r="BM319" s="379"/>
      <c r="BN319" s="379"/>
      <c r="BO319" s="379"/>
      <c r="BP319" s="379"/>
    </row>
    <row r="320" spans="57:68" ht="22.5" customHeight="1">
      <c r="BE320" s="379"/>
      <c r="BF320" s="379"/>
      <c r="BG320" s="379"/>
      <c r="BH320" s="379"/>
      <c r="BI320" s="379"/>
      <c r="BJ320" s="379"/>
      <c r="BK320" s="379"/>
      <c r="BL320" s="379"/>
      <c r="BM320" s="379"/>
      <c r="BN320" s="379"/>
      <c r="BO320" s="379"/>
      <c r="BP320" s="379"/>
    </row>
    <row r="321" spans="57:68" ht="22.5" customHeight="1">
      <c r="BE321" s="379"/>
      <c r="BF321" s="379"/>
      <c r="BG321" s="379"/>
      <c r="BH321" s="379"/>
      <c r="BI321" s="379"/>
      <c r="BJ321" s="379"/>
      <c r="BK321" s="379"/>
      <c r="BL321" s="379"/>
      <c r="BM321" s="379"/>
      <c r="BN321" s="379"/>
      <c r="BO321" s="379"/>
      <c r="BP321" s="379"/>
    </row>
    <row r="322" spans="57:68" ht="22.5" customHeight="1">
      <c r="BE322" s="379"/>
      <c r="BF322" s="379"/>
      <c r="BG322" s="379"/>
      <c r="BH322" s="379"/>
      <c r="BI322" s="379"/>
      <c r="BJ322" s="379"/>
      <c r="BK322" s="379"/>
      <c r="BL322" s="379"/>
      <c r="BM322" s="379"/>
      <c r="BN322" s="379"/>
      <c r="BO322" s="379"/>
      <c r="BP322" s="379"/>
    </row>
    <row r="323" spans="57:68" ht="22.5" customHeight="1">
      <c r="BE323" s="379"/>
      <c r="BF323" s="379"/>
      <c r="BG323" s="379"/>
      <c r="BH323" s="379"/>
      <c r="BI323" s="379"/>
      <c r="BJ323" s="379"/>
      <c r="BK323" s="379"/>
      <c r="BL323" s="379"/>
      <c r="BM323" s="379"/>
      <c r="BN323" s="379"/>
      <c r="BO323" s="379"/>
      <c r="BP323" s="379"/>
    </row>
    <row r="324" spans="57:68" ht="22.5" customHeight="1">
      <c r="BE324" s="379"/>
      <c r="BF324" s="379"/>
      <c r="BG324" s="379"/>
      <c r="BH324" s="379"/>
      <c r="BI324" s="379"/>
      <c r="BJ324" s="379"/>
      <c r="BK324" s="379"/>
      <c r="BL324" s="379"/>
      <c r="BM324" s="379"/>
      <c r="BN324" s="379"/>
      <c r="BO324" s="379"/>
      <c r="BP324" s="379"/>
    </row>
    <row r="325" spans="57:68" ht="22.5" customHeight="1">
      <c r="BE325" s="379"/>
      <c r="BF325" s="379"/>
      <c r="BG325" s="379"/>
      <c r="BH325" s="379"/>
      <c r="BI325" s="379"/>
      <c r="BJ325" s="379"/>
      <c r="BK325" s="379"/>
      <c r="BL325" s="379"/>
      <c r="BM325" s="379"/>
      <c r="BN325" s="379"/>
      <c r="BO325" s="379"/>
      <c r="BP325" s="379"/>
    </row>
    <row r="326" spans="57:68" ht="22.5" customHeight="1">
      <c r="BE326" s="379"/>
      <c r="BF326" s="379"/>
      <c r="BG326" s="379"/>
      <c r="BH326" s="379"/>
      <c r="BI326" s="379"/>
      <c r="BJ326" s="379"/>
      <c r="BK326" s="379"/>
      <c r="BL326" s="379"/>
      <c r="BM326" s="379"/>
      <c r="BN326" s="379"/>
      <c r="BO326" s="379"/>
      <c r="BP326" s="379"/>
    </row>
    <row r="327" spans="57:68" ht="22.5" customHeight="1">
      <c r="BE327" s="379"/>
      <c r="BF327" s="379"/>
      <c r="BG327" s="379"/>
      <c r="BH327" s="379"/>
      <c r="BI327" s="379"/>
      <c r="BJ327" s="379"/>
      <c r="BK327" s="379"/>
      <c r="BL327" s="379"/>
      <c r="BM327" s="379"/>
      <c r="BN327" s="379"/>
      <c r="BO327" s="379"/>
      <c r="BP327" s="379"/>
    </row>
    <row r="328" spans="57:68" ht="22.5" customHeight="1">
      <c r="BE328" s="379"/>
      <c r="BF328" s="379"/>
      <c r="BG328" s="379"/>
      <c r="BH328" s="379"/>
      <c r="BI328" s="379"/>
      <c r="BJ328" s="379"/>
      <c r="BK328" s="379"/>
      <c r="BL328" s="379"/>
      <c r="BM328" s="379"/>
      <c r="BN328" s="379"/>
      <c r="BO328" s="379"/>
      <c r="BP328" s="379"/>
    </row>
    <row r="329" spans="57:68" ht="22.5" customHeight="1">
      <c r="BE329" s="379"/>
      <c r="BF329" s="379"/>
      <c r="BG329" s="379"/>
      <c r="BH329" s="379"/>
      <c r="BI329" s="379"/>
      <c r="BJ329" s="379"/>
      <c r="BK329" s="379"/>
      <c r="BL329" s="379"/>
      <c r="BM329" s="379"/>
      <c r="BN329" s="379"/>
      <c r="BO329" s="379"/>
      <c r="BP329" s="379"/>
    </row>
    <row r="330" spans="57:68" ht="22.5" customHeight="1">
      <c r="BE330" s="379"/>
      <c r="BF330" s="379"/>
      <c r="BG330" s="379"/>
      <c r="BH330" s="379"/>
      <c r="BI330" s="379"/>
      <c r="BJ330" s="379"/>
      <c r="BK330" s="379"/>
      <c r="BL330" s="379"/>
      <c r="BM330" s="379"/>
      <c r="BN330" s="379"/>
      <c r="BO330" s="379"/>
      <c r="BP330" s="379"/>
    </row>
    <row r="331" spans="57:68" ht="22.5" customHeight="1">
      <c r="BE331" s="379"/>
      <c r="BF331" s="379"/>
      <c r="BG331" s="379"/>
      <c r="BH331" s="379"/>
      <c r="BI331" s="379"/>
      <c r="BJ331" s="379"/>
      <c r="BK331" s="379"/>
      <c r="BL331" s="379"/>
      <c r="BM331" s="379"/>
      <c r="BN331" s="379"/>
      <c r="BO331" s="379"/>
      <c r="BP331" s="379"/>
    </row>
    <row r="332" spans="57:68" ht="22.5" customHeight="1">
      <c r="BE332" s="379"/>
      <c r="BF332" s="379"/>
      <c r="BG332" s="379"/>
      <c r="BH332" s="379"/>
      <c r="BI332" s="379"/>
      <c r="BJ332" s="379"/>
      <c r="BK332" s="379"/>
      <c r="BL332" s="379"/>
      <c r="BM332" s="379"/>
      <c r="BN332" s="379"/>
      <c r="BO332" s="379"/>
      <c r="BP332" s="379"/>
    </row>
    <row r="333" spans="57:68" ht="22.5" customHeight="1">
      <c r="BE333" s="379"/>
      <c r="BF333" s="379"/>
      <c r="BG333" s="379"/>
      <c r="BH333" s="379"/>
      <c r="BI333" s="379"/>
      <c r="BJ333" s="379"/>
      <c r="BK333" s="379"/>
      <c r="BL333" s="379"/>
      <c r="BM333" s="379"/>
      <c r="BN333" s="379"/>
      <c r="BO333" s="379"/>
      <c r="BP333" s="379"/>
    </row>
    <row r="334" spans="57:68" ht="22.5" customHeight="1">
      <c r="BE334" s="379"/>
      <c r="BF334" s="379"/>
      <c r="BG334" s="379"/>
      <c r="BH334" s="379"/>
      <c r="BI334" s="379"/>
      <c r="BJ334" s="379"/>
      <c r="BK334" s="379"/>
      <c r="BL334" s="379"/>
      <c r="BM334" s="379"/>
      <c r="BN334" s="379"/>
      <c r="BO334" s="379"/>
      <c r="BP334" s="379"/>
    </row>
    <row r="335" spans="57:68" ht="22.5" customHeight="1">
      <c r="BE335" s="379"/>
      <c r="BF335" s="379"/>
      <c r="BG335" s="379"/>
      <c r="BH335" s="379"/>
      <c r="BI335" s="379"/>
      <c r="BJ335" s="379"/>
      <c r="BK335" s="379"/>
      <c r="BL335" s="379"/>
      <c r="BM335" s="379"/>
      <c r="BN335" s="379"/>
      <c r="BO335" s="379"/>
      <c r="BP335" s="379"/>
    </row>
    <row r="336" spans="57:68" ht="22.5" customHeight="1">
      <c r="BE336" s="379"/>
      <c r="BF336" s="379"/>
      <c r="BG336" s="379"/>
      <c r="BH336" s="379"/>
      <c r="BI336" s="379"/>
      <c r="BJ336" s="379"/>
      <c r="BK336" s="379"/>
      <c r="BL336" s="379"/>
      <c r="BM336" s="379"/>
      <c r="BN336" s="379"/>
      <c r="BO336" s="379"/>
      <c r="BP336" s="379"/>
    </row>
    <row r="337" spans="57:68" ht="22.5" customHeight="1">
      <c r="BE337" s="379"/>
      <c r="BF337" s="379"/>
      <c r="BG337" s="379"/>
      <c r="BH337" s="379"/>
      <c r="BI337" s="379"/>
      <c r="BJ337" s="379"/>
      <c r="BK337" s="379"/>
      <c r="BL337" s="379"/>
      <c r="BM337" s="379"/>
      <c r="BN337" s="379"/>
      <c r="BO337" s="379"/>
      <c r="BP337" s="379"/>
    </row>
    <row r="338" spans="57:68" ht="22.5" customHeight="1">
      <c r="BE338" s="379"/>
      <c r="BF338" s="379"/>
      <c r="BG338" s="379"/>
      <c r="BH338" s="379"/>
      <c r="BI338" s="379"/>
      <c r="BJ338" s="379"/>
      <c r="BK338" s="379"/>
      <c r="BL338" s="379"/>
      <c r="BM338" s="379"/>
      <c r="BN338" s="379"/>
      <c r="BO338" s="379"/>
      <c r="BP338" s="379"/>
    </row>
    <row r="339" spans="57:68" ht="22.5" customHeight="1">
      <c r="BE339" s="379"/>
      <c r="BF339" s="379"/>
      <c r="BG339" s="379"/>
      <c r="BH339" s="379"/>
      <c r="BI339" s="379"/>
      <c r="BJ339" s="379"/>
      <c r="BK339" s="379"/>
      <c r="BL339" s="379"/>
      <c r="BM339" s="379"/>
      <c r="BN339" s="379"/>
      <c r="BO339" s="379"/>
      <c r="BP339" s="379"/>
    </row>
    <row r="340" spans="57:68" ht="22.5" customHeight="1">
      <c r="BE340" s="379"/>
      <c r="BF340" s="379"/>
      <c r="BG340" s="379"/>
      <c r="BH340" s="379"/>
      <c r="BI340" s="379"/>
      <c r="BJ340" s="379"/>
      <c r="BK340" s="379"/>
      <c r="BL340" s="379"/>
      <c r="BM340" s="379"/>
      <c r="BN340" s="379"/>
      <c r="BO340" s="379"/>
      <c r="BP340" s="379"/>
    </row>
    <row r="341" spans="57:68" ht="22.5" customHeight="1">
      <c r="BE341" s="379"/>
      <c r="BF341" s="379"/>
      <c r="BG341" s="379"/>
      <c r="BH341" s="379"/>
      <c r="BI341" s="379"/>
      <c r="BJ341" s="379"/>
      <c r="BK341" s="379"/>
      <c r="BL341" s="379"/>
      <c r="BM341" s="379"/>
      <c r="BN341" s="379"/>
      <c r="BO341" s="379"/>
      <c r="BP341" s="379"/>
    </row>
    <row r="342" spans="57:68" ht="22.5" customHeight="1">
      <c r="BE342" s="379"/>
      <c r="BF342" s="379"/>
      <c r="BG342" s="379"/>
      <c r="BH342" s="379"/>
      <c r="BI342" s="379"/>
      <c r="BJ342" s="379"/>
      <c r="BK342" s="379"/>
      <c r="BL342" s="379"/>
      <c r="BM342" s="379"/>
      <c r="BN342" s="379"/>
      <c r="BO342" s="379"/>
      <c r="BP342" s="379"/>
    </row>
    <row r="343" spans="57:68" ht="22.5" customHeight="1">
      <c r="BE343" s="379"/>
      <c r="BF343" s="379"/>
      <c r="BG343" s="379"/>
      <c r="BH343" s="379"/>
      <c r="BI343" s="379"/>
      <c r="BJ343" s="379"/>
      <c r="BK343" s="379"/>
      <c r="BL343" s="379"/>
      <c r="BM343" s="379"/>
      <c r="BN343" s="379"/>
      <c r="BO343" s="379"/>
      <c r="BP343" s="379"/>
    </row>
    <row r="344" spans="57:68" ht="22.5" customHeight="1">
      <c r="BE344" s="379"/>
      <c r="BF344" s="379"/>
      <c r="BG344" s="379"/>
      <c r="BH344" s="379"/>
      <c r="BI344" s="379"/>
      <c r="BJ344" s="379"/>
      <c r="BK344" s="379"/>
      <c r="BL344" s="379"/>
      <c r="BM344" s="379"/>
      <c r="BN344" s="379"/>
      <c r="BO344" s="379"/>
      <c r="BP344" s="379"/>
    </row>
    <row r="345" spans="57:68" ht="22.5" customHeight="1">
      <c r="BE345" s="379"/>
      <c r="BF345" s="379"/>
      <c r="BG345" s="379"/>
      <c r="BH345" s="379"/>
      <c r="BI345" s="379"/>
      <c r="BJ345" s="379"/>
      <c r="BK345" s="379"/>
      <c r="BL345" s="379"/>
      <c r="BM345" s="379"/>
      <c r="BN345" s="379"/>
      <c r="BO345" s="379"/>
      <c r="BP345" s="379"/>
    </row>
    <row r="346" spans="57:68" ht="22.5" customHeight="1">
      <c r="BE346" s="379"/>
      <c r="BF346" s="379"/>
      <c r="BG346" s="379"/>
      <c r="BH346" s="379"/>
      <c r="BI346" s="379"/>
      <c r="BJ346" s="379"/>
      <c r="BK346" s="379"/>
      <c r="BL346" s="379"/>
      <c r="BM346" s="379"/>
      <c r="BN346" s="379"/>
      <c r="BO346" s="379"/>
      <c r="BP346" s="379"/>
    </row>
    <row r="347" spans="57:68" ht="22.5" customHeight="1">
      <c r="BE347" s="379"/>
      <c r="BF347" s="379"/>
      <c r="BG347" s="379"/>
      <c r="BH347" s="379"/>
      <c r="BI347" s="379"/>
      <c r="BJ347" s="379"/>
      <c r="BK347" s="379"/>
      <c r="BL347" s="379"/>
      <c r="BM347" s="379"/>
      <c r="BN347" s="379"/>
      <c r="BO347" s="379"/>
      <c r="BP347" s="379"/>
    </row>
    <row r="348" spans="57:68" ht="22.5" customHeight="1">
      <c r="BE348" s="379"/>
      <c r="BF348" s="379"/>
      <c r="BG348" s="379"/>
      <c r="BH348" s="379"/>
      <c r="BI348" s="379"/>
      <c r="BJ348" s="379"/>
      <c r="BK348" s="379"/>
      <c r="BL348" s="379"/>
      <c r="BM348" s="379"/>
      <c r="BN348" s="379"/>
      <c r="BO348" s="379"/>
      <c r="BP348" s="379"/>
    </row>
    <row r="349" spans="57:68" ht="22.5" customHeight="1">
      <c r="BE349" s="379"/>
      <c r="BF349" s="379"/>
      <c r="BG349" s="379"/>
      <c r="BH349" s="379"/>
      <c r="BI349" s="379"/>
      <c r="BJ349" s="379"/>
      <c r="BK349" s="379"/>
      <c r="BL349" s="379"/>
      <c r="BM349" s="379"/>
      <c r="BN349" s="379"/>
      <c r="BO349" s="379"/>
      <c r="BP349" s="379"/>
    </row>
    <row r="350" spans="57:68" ht="22.5" customHeight="1">
      <c r="BE350" s="379"/>
      <c r="BF350" s="379"/>
      <c r="BG350" s="379"/>
      <c r="BH350" s="379"/>
      <c r="BI350" s="379"/>
      <c r="BJ350" s="379"/>
      <c r="BK350" s="379"/>
      <c r="BL350" s="379"/>
      <c r="BM350" s="379"/>
      <c r="BN350" s="379"/>
      <c r="BO350" s="379"/>
      <c r="BP350" s="379"/>
    </row>
    <row r="351" spans="57:68" ht="22.5" customHeight="1">
      <c r="BE351" s="379"/>
      <c r="BF351" s="379"/>
      <c r="BG351" s="379"/>
      <c r="BH351" s="379"/>
      <c r="BI351" s="379"/>
      <c r="BJ351" s="379"/>
      <c r="BK351" s="379"/>
      <c r="BL351" s="379"/>
      <c r="BM351" s="379"/>
      <c r="BN351" s="379"/>
      <c r="BO351" s="379"/>
      <c r="BP351" s="379"/>
    </row>
    <row r="352" spans="57:68" ht="22.5" customHeight="1">
      <c r="BE352" s="379"/>
      <c r="BF352" s="379"/>
      <c r="BG352" s="379"/>
      <c r="BH352" s="379"/>
      <c r="BI352" s="379"/>
      <c r="BJ352" s="379"/>
      <c r="BK352" s="379"/>
      <c r="BL352" s="379"/>
      <c r="BM352" s="379"/>
      <c r="BN352" s="379"/>
      <c r="BO352" s="379"/>
      <c r="BP352" s="379"/>
    </row>
    <row r="353" spans="57:68" ht="22.5" customHeight="1">
      <c r="BE353" s="379"/>
      <c r="BF353" s="379"/>
      <c r="BG353" s="379"/>
      <c r="BH353" s="379"/>
      <c r="BI353" s="379"/>
      <c r="BJ353" s="379"/>
      <c r="BK353" s="379"/>
      <c r="BL353" s="379"/>
      <c r="BM353" s="379"/>
      <c r="BN353" s="379"/>
      <c r="BO353" s="379"/>
      <c r="BP353" s="379"/>
    </row>
    <row r="354" spans="57:68" ht="22.5" customHeight="1">
      <c r="BE354" s="379"/>
      <c r="BF354" s="379"/>
      <c r="BG354" s="379"/>
      <c r="BH354" s="379"/>
      <c r="BI354" s="379"/>
      <c r="BJ354" s="379"/>
      <c r="BK354" s="379"/>
      <c r="BL354" s="379"/>
      <c r="BM354" s="379"/>
      <c r="BN354" s="379"/>
      <c r="BO354" s="379"/>
      <c r="BP354" s="379"/>
    </row>
    <row r="355" spans="57:68" ht="22.5" customHeight="1">
      <c r="BE355" s="379"/>
      <c r="BF355" s="379"/>
      <c r="BG355" s="379"/>
      <c r="BH355" s="379"/>
      <c r="BI355" s="379"/>
      <c r="BJ355" s="379"/>
      <c r="BK355" s="379"/>
      <c r="BL355" s="379"/>
      <c r="BM355" s="379"/>
      <c r="BN355" s="379"/>
      <c r="BO355" s="379"/>
      <c r="BP355" s="379"/>
    </row>
    <row r="356" spans="57:68" ht="22.5" customHeight="1">
      <c r="BE356" s="379"/>
      <c r="BF356" s="379"/>
      <c r="BG356" s="379"/>
      <c r="BH356" s="379"/>
      <c r="BI356" s="379"/>
      <c r="BJ356" s="379"/>
      <c r="BK356" s="379"/>
      <c r="BL356" s="379"/>
      <c r="BM356" s="379"/>
      <c r="BN356" s="379"/>
      <c r="BO356" s="379"/>
      <c r="BP356" s="379"/>
    </row>
    <row r="357" spans="57:68" ht="22.5" customHeight="1">
      <c r="BE357" s="379"/>
      <c r="BF357" s="379"/>
      <c r="BG357" s="379"/>
      <c r="BH357" s="379"/>
      <c r="BI357" s="379"/>
      <c r="BJ357" s="379"/>
      <c r="BK357" s="379"/>
      <c r="BL357" s="379"/>
      <c r="BM357" s="379"/>
      <c r="BN357" s="379"/>
      <c r="BO357" s="379"/>
      <c r="BP357" s="379"/>
    </row>
    <row r="358" spans="57:68" ht="22.5" customHeight="1">
      <c r="BE358" s="379"/>
      <c r="BF358" s="379"/>
      <c r="BG358" s="379"/>
      <c r="BH358" s="379"/>
      <c r="BI358" s="379"/>
      <c r="BJ358" s="379"/>
      <c r="BK358" s="379"/>
      <c r="BL358" s="379"/>
      <c r="BM358" s="379"/>
      <c r="BN358" s="379"/>
      <c r="BO358" s="379"/>
      <c r="BP358" s="379"/>
    </row>
    <row r="359" spans="57:68" ht="22.5" customHeight="1">
      <c r="BE359" s="379"/>
      <c r="BF359" s="379"/>
      <c r="BG359" s="379"/>
      <c r="BH359" s="379"/>
      <c r="BI359" s="379"/>
      <c r="BJ359" s="379"/>
      <c r="BK359" s="379"/>
      <c r="BL359" s="379"/>
      <c r="BM359" s="379"/>
      <c r="BN359" s="379"/>
      <c r="BO359" s="379"/>
      <c r="BP359" s="379"/>
    </row>
    <row r="360" spans="57:68" ht="22.5" customHeight="1">
      <c r="BE360" s="379"/>
      <c r="BF360" s="379"/>
      <c r="BG360" s="379"/>
      <c r="BH360" s="379"/>
      <c r="BI360" s="379"/>
      <c r="BJ360" s="379"/>
      <c r="BK360" s="379"/>
      <c r="BL360" s="379"/>
      <c r="BM360" s="379"/>
      <c r="BN360" s="379"/>
      <c r="BO360" s="379"/>
      <c r="BP360" s="379"/>
    </row>
    <row r="361" spans="57:68" ht="22.5" customHeight="1">
      <c r="BE361" s="379"/>
      <c r="BF361" s="379"/>
      <c r="BG361" s="379"/>
      <c r="BH361" s="379"/>
      <c r="BI361" s="379"/>
      <c r="BJ361" s="379"/>
      <c r="BK361" s="379"/>
      <c r="BL361" s="379"/>
      <c r="BM361" s="379"/>
      <c r="BN361" s="379"/>
      <c r="BO361" s="379"/>
      <c r="BP361" s="379"/>
    </row>
    <row r="362" spans="57:68" ht="22.5" customHeight="1">
      <c r="BE362" s="379"/>
      <c r="BF362" s="379"/>
      <c r="BG362" s="379"/>
      <c r="BH362" s="379"/>
      <c r="BI362" s="379"/>
      <c r="BJ362" s="379"/>
      <c r="BK362" s="379"/>
      <c r="BL362" s="379"/>
      <c r="BM362" s="379"/>
      <c r="BN362" s="379"/>
      <c r="BO362" s="379"/>
      <c r="BP362" s="379"/>
    </row>
    <row r="363" spans="57:68" ht="22.5" customHeight="1">
      <c r="BE363" s="379"/>
      <c r="BF363" s="379"/>
      <c r="BG363" s="379"/>
      <c r="BH363" s="379"/>
      <c r="BI363" s="379"/>
      <c r="BJ363" s="379"/>
      <c r="BK363" s="379"/>
      <c r="BL363" s="379"/>
      <c r="BM363" s="379"/>
      <c r="BN363" s="379"/>
      <c r="BO363" s="379"/>
      <c r="BP363" s="379"/>
    </row>
    <row r="364" spans="57:68" ht="22.5" customHeight="1">
      <c r="BE364" s="379"/>
      <c r="BF364" s="379"/>
      <c r="BG364" s="379"/>
      <c r="BH364" s="379"/>
      <c r="BI364" s="379"/>
      <c r="BJ364" s="379"/>
      <c r="BK364" s="379"/>
      <c r="BL364" s="379"/>
      <c r="BM364" s="379"/>
      <c r="BN364" s="379"/>
      <c r="BO364" s="379"/>
      <c r="BP364" s="379"/>
    </row>
    <row r="365" spans="57:68" ht="22.5" customHeight="1">
      <c r="BE365" s="379"/>
      <c r="BF365" s="379"/>
      <c r="BG365" s="379"/>
      <c r="BH365" s="379"/>
      <c r="BI365" s="379"/>
      <c r="BJ365" s="379"/>
      <c r="BK365" s="379"/>
      <c r="BL365" s="379"/>
      <c r="BM365" s="379"/>
      <c r="BN365" s="379"/>
      <c r="BO365" s="379"/>
      <c r="BP365" s="379"/>
    </row>
    <row r="366" spans="57:68" ht="22.5" customHeight="1">
      <c r="BE366" s="379"/>
      <c r="BF366" s="379"/>
      <c r="BG366" s="379"/>
      <c r="BH366" s="379"/>
      <c r="BI366" s="379"/>
      <c r="BJ366" s="379"/>
      <c r="BK366" s="379"/>
      <c r="BL366" s="379"/>
      <c r="BM366" s="379"/>
      <c r="BN366" s="379"/>
      <c r="BO366" s="379"/>
      <c r="BP366" s="379"/>
    </row>
    <row r="367" spans="57:68" ht="22.5" customHeight="1">
      <c r="BE367" s="379"/>
      <c r="BF367" s="379"/>
      <c r="BG367" s="379"/>
      <c r="BH367" s="379"/>
      <c r="BI367" s="379"/>
      <c r="BJ367" s="379"/>
      <c r="BK367" s="379"/>
      <c r="BL367" s="379"/>
      <c r="BM367" s="379"/>
      <c r="BN367" s="379"/>
      <c r="BO367" s="379"/>
      <c r="BP367" s="379"/>
    </row>
    <row r="368" spans="57:68" ht="22.5" customHeight="1">
      <c r="BE368" s="379"/>
      <c r="BF368" s="379"/>
      <c r="BG368" s="379"/>
      <c r="BH368" s="379"/>
      <c r="BI368" s="379"/>
      <c r="BJ368" s="379"/>
      <c r="BK368" s="379"/>
      <c r="BL368" s="379"/>
      <c r="BM368" s="379"/>
      <c r="BN368" s="379"/>
      <c r="BO368" s="379"/>
      <c r="BP368" s="379"/>
    </row>
    <row r="369" spans="57:68" ht="22.5" customHeight="1">
      <c r="BE369" s="379"/>
      <c r="BF369" s="379"/>
      <c r="BG369" s="379"/>
      <c r="BH369" s="379"/>
      <c r="BI369" s="379"/>
      <c r="BJ369" s="379"/>
      <c r="BK369" s="379"/>
      <c r="BL369" s="379"/>
      <c r="BM369" s="379"/>
      <c r="BN369" s="379"/>
      <c r="BO369" s="379"/>
      <c r="BP369" s="379"/>
    </row>
    <row r="370" spans="57:68" ht="22.5" customHeight="1">
      <c r="BE370" s="379"/>
      <c r="BF370" s="379"/>
      <c r="BG370" s="379"/>
      <c r="BH370" s="379"/>
      <c r="BI370" s="379"/>
      <c r="BJ370" s="379"/>
      <c r="BK370" s="379"/>
      <c r="BL370" s="379"/>
      <c r="BM370" s="379"/>
      <c r="BN370" s="379"/>
      <c r="BO370" s="379"/>
      <c r="BP370" s="379"/>
    </row>
    <row r="371" spans="57:68" ht="22.5" customHeight="1">
      <c r="BE371" s="379"/>
      <c r="BF371" s="379"/>
      <c r="BG371" s="379"/>
      <c r="BH371" s="379"/>
      <c r="BI371" s="379"/>
      <c r="BJ371" s="379"/>
      <c r="BK371" s="379"/>
      <c r="BL371" s="379"/>
      <c r="BM371" s="379"/>
      <c r="BN371" s="379"/>
      <c r="BO371" s="379"/>
      <c r="BP371" s="379"/>
    </row>
    <row r="372" spans="57:68" ht="22.5" customHeight="1">
      <c r="BE372" s="379"/>
      <c r="BF372" s="379"/>
      <c r="BG372" s="379"/>
      <c r="BH372" s="379"/>
      <c r="BI372" s="379"/>
      <c r="BJ372" s="379"/>
      <c r="BK372" s="379"/>
      <c r="BL372" s="379"/>
      <c r="BM372" s="379"/>
      <c r="BN372" s="379"/>
      <c r="BO372" s="379"/>
      <c r="BP372" s="379"/>
    </row>
    <row r="373" spans="57:68" ht="22.5" customHeight="1">
      <c r="BE373" s="379"/>
      <c r="BF373" s="379"/>
      <c r="BG373" s="379"/>
      <c r="BH373" s="379"/>
      <c r="BI373" s="379"/>
      <c r="BJ373" s="379"/>
      <c r="BK373" s="379"/>
      <c r="BL373" s="379"/>
      <c r="BM373" s="379"/>
      <c r="BN373" s="379"/>
      <c r="BO373" s="379"/>
      <c r="BP373" s="379"/>
    </row>
    <row r="374" spans="57:68" ht="22.5" customHeight="1">
      <c r="BE374" s="379"/>
      <c r="BF374" s="379"/>
      <c r="BG374" s="379"/>
      <c r="BH374" s="379"/>
      <c r="BI374" s="379"/>
      <c r="BJ374" s="379"/>
      <c r="BK374" s="379"/>
      <c r="BL374" s="379"/>
      <c r="BM374" s="379"/>
      <c r="BN374" s="379"/>
      <c r="BO374" s="379"/>
      <c r="BP374" s="379"/>
    </row>
    <row r="375" spans="57:68" ht="22.5" customHeight="1">
      <c r="BE375" s="379"/>
      <c r="BF375" s="379"/>
      <c r="BG375" s="379"/>
      <c r="BH375" s="379"/>
      <c r="BI375" s="379"/>
      <c r="BJ375" s="379"/>
      <c r="BK375" s="379"/>
      <c r="BL375" s="379"/>
      <c r="BM375" s="379"/>
      <c r="BN375" s="379"/>
      <c r="BO375" s="379"/>
      <c r="BP375" s="379"/>
    </row>
    <row r="376" spans="57:68" ht="22.5" customHeight="1">
      <c r="BE376" s="379"/>
      <c r="BF376" s="379"/>
      <c r="BG376" s="379"/>
      <c r="BH376" s="379"/>
      <c r="BI376" s="379"/>
      <c r="BJ376" s="379"/>
      <c r="BK376" s="379"/>
      <c r="BL376" s="379"/>
      <c r="BM376" s="379"/>
      <c r="BN376" s="379"/>
      <c r="BO376" s="379"/>
      <c r="BP376" s="379"/>
    </row>
    <row r="377" spans="57:68" ht="22.5" customHeight="1">
      <c r="BE377" s="379"/>
      <c r="BF377" s="379"/>
      <c r="BG377" s="379"/>
      <c r="BH377" s="379"/>
      <c r="BI377" s="379"/>
      <c r="BJ377" s="379"/>
      <c r="BK377" s="379"/>
      <c r="BL377" s="379"/>
      <c r="BM377" s="379"/>
      <c r="BN377" s="379"/>
      <c r="BO377" s="379"/>
      <c r="BP377" s="379"/>
    </row>
    <row r="378" spans="57:68" ht="22.5" customHeight="1">
      <c r="BE378" s="379"/>
      <c r="BF378" s="379"/>
      <c r="BG378" s="379"/>
      <c r="BH378" s="379"/>
      <c r="BI378" s="379"/>
      <c r="BJ378" s="379"/>
      <c r="BK378" s="379"/>
      <c r="BL378" s="379"/>
      <c r="BM378" s="379"/>
      <c r="BN378" s="379"/>
      <c r="BO378" s="379"/>
      <c r="BP378" s="379"/>
    </row>
    <row r="379" spans="57:68" ht="22.5" customHeight="1">
      <c r="BE379" s="379"/>
      <c r="BF379" s="379"/>
      <c r="BG379" s="379"/>
      <c r="BH379" s="379"/>
      <c r="BI379" s="379"/>
      <c r="BJ379" s="379"/>
      <c r="BK379" s="379"/>
      <c r="BL379" s="379"/>
      <c r="BM379" s="379"/>
      <c r="BN379" s="379"/>
      <c r="BO379" s="379"/>
      <c r="BP379" s="379"/>
    </row>
    <row r="380" spans="57:68" ht="22.5" customHeight="1">
      <c r="BE380" s="379"/>
      <c r="BF380" s="379"/>
      <c r="BG380" s="379"/>
      <c r="BH380" s="379"/>
      <c r="BI380" s="379"/>
      <c r="BJ380" s="379"/>
      <c r="BK380" s="379"/>
      <c r="BL380" s="379"/>
      <c r="BM380" s="379"/>
      <c r="BN380" s="379"/>
      <c r="BO380" s="379"/>
      <c r="BP380" s="379"/>
    </row>
    <row r="381" spans="57:68" ht="22.5" customHeight="1">
      <c r="BE381" s="379"/>
      <c r="BF381" s="379"/>
      <c r="BG381" s="379"/>
      <c r="BH381" s="379"/>
      <c r="BI381" s="379"/>
      <c r="BJ381" s="379"/>
      <c r="BK381" s="379"/>
      <c r="BL381" s="379"/>
      <c r="BM381" s="379"/>
      <c r="BN381" s="379"/>
      <c r="BO381" s="379"/>
      <c r="BP381" s="379"/>
    </row>
    <row r="382" spans="57:68" ht="22.5" customHeight="1">
      <c r="BE382" s="379"/>
      <c r="BF382" s="379"/>
      <c r="BG382" s="379"/>
      <c r="BH382" s="379"/>
      <c r="BI382" s="379"/>
      <c r="BJ382" s="379"/>
      <c r="BK382" s="379"/>
      <c r="BL382" s="379"/>
      <c r="BM382" s="379"/>
      <c r="BN382" s="379"/>
      <c r="BO382" s="379"/>
      <c r="BP382" s="379"/>
    </row>
    <row r="383" spans="57:68" ht="22.5" customHeight="1">
      <c r="BE383" s="379"/>
      <c r="BF383" s="379"/>
      <c r="BG383" s="379"/>
      <c r="BH383" s="379"/>
      <c r="BI383" s="379"/>
      <c r="BJ383" s="379"/>
      <c r="BK383" s="379"/>
      <c r="BL383" s="379"/>
      <c r="BM383" s="379"/>
      <c r="BN383" s="379"/>
      <c r="BO383" s="379"/>
      <c r="BP383" s="379"/>
    </row>
    <row r="384" spans="57:68" ht="22.5" customHeight="1">
      <c r="BE384" s="379"/>
      <c r="BF384" s="379"/>
      <c r="BG384" s="379"/>
      <c r="BH384" s="379"/>
      <c r="BI384" s="379"/>
      <c r="BJ384" s="379"/>
      <c r="BK384" s="379"/>
      <c r="BL384" s="379"/>
      <c r="BM384" s="379"/>
      <c r="BN384" s="379"/>
      <c r="BO384" s="379"/>
      <c r="BP384" s="379"/>
    </row>
    <row r="385" spans="57:68" ht="22.5" customHeight="1">
      <c r="BE385" s="379"/>
      <c r="BF385" s="379"/>
      <c r="BG385" s="379"/>
      <c r="BH385" s="379"/>
      <c r="BI385" s="379"/>
      <c r="BJ385" s="379"/>
      <c r="BK385" s="379"/>
      <c r="BL385" s="379"/>
      <c r="BM385" s="379"/>
      <c r="BN385" s="379"/>
      <c r="BO385" s="379"/>
      <c r="BP385" s="379"/>
    </row>
    <row r="386" spans="57:68" ht="22.5" customHeight="1">
      <c r="BE386" s="379"/>
      <c r="BF386" s="379"/>
      <c r="BG386" s="379"/>
      <c r="BH386" s="379"/>
      <c r="BI386" s="379"/>
      <c r="BJ386" s="379"/>
      <c r="BK386" s="379"/>
      <c r="BL386" s="379"/>
      <c r="BM386" s="379"/>
      <c r="BN386" s="379"/>
      <c r="BO386" s="379"/>
      <c r="BP386" s="379"/>
    </row>
    <row r="387" spans="57:68" ht="22.5" customHeight="1">
      <c r="BE387" s="379"/>
      <c r="BF387" s="379"/>
      <c r="BG387" s="379"/>
      <c r="BH387" s="379"/>
      <c r="BI387" s="379"/>
      <c r="BJ387" s="379"/>
      <c r="BK387" s="379"/>
      <c r="BL387" s="379"/>
      <c r="BM387" s="379"/>
      <c r="BN387" s="379"/>
      <c r="BO387" s="379"/>
      <c r="BP387" s="379"/>
    </row>
    <row r="388" spans="57:68" ht="22.5" customHeight="1">
      <c r="BE388" s="379"/>
      <c r="BF388" s="379"/>
      <c r="BG388" s="379"/>
      <c r="BH388" s="379"/>
      <c r="BI388" s="379"/>
      <c r="BJ388" s="379"/>
      <c r="BK388" s="379"/>
      <c r="BL388" s="379"/>
      <c r="BM388" s="379"/>
      <c r="BN388" s="379"/>
      <c r="BO388" s="379"/>
      <c r="BP388" s="379"/>
    </row>
    <row r="389" spans="57:68" ht="22.5" customHeight="1">
      <c r="BE389" s="379"/>
      <c r="BF389" s="379"/>
      <c r="BG389" s="379"/>
      <c r="BH389" s="379"/>
      <c r="BI389" s="379"/>
      <c r="BJ389" s="379"/>
      <c r="BK389" s="379"/>
      <c r="BL389" s="379"/>
      <c r="BM389" s="379"/>
      <c r="BN389" s="379"/>
      <c r="BO389" s="379"/>
      <c r="BP389" s="379"/>
    </row>
    <row r="390" spans="57:68" ht="22.5" customHeight="1">
      <c r="BE390" s="379"/>
      <c r="BF390" s="379"/>
      <c r="BG390" s="379"/>
      <c r="BH390" s="379"/>
      <c r="BI390" s="379"/>
      <c r="BJ390" s="379"/>
      <c r="BK390" s="379"/>
      <c r="BL390" s="379"/>
      <c r="BM390" s="379"/>
      <c r="BN390" s="379"/>
      <c r="BO390" s="379"/>
      <c r="BP390" s="379"/>
    </row>
    <row r="391" spans="57:68" ht="22.5" customHeight="1">
      <c r="BE391" s="379"/>
      <c r="BF391" s="379"/>
      <c r="BG391" s="379"/>
      <c r="BH391" s="379"/>
      <c r="BI391" s="379"/>
      <c r="BJ391" s="379"/>
      <c r="BK391" s="379"/>
      <c r="BL391" s="379"/>
      <c r="BM391" s="379"/>
      <c r="BN391" s="379"/>
      <c r="BO391" s="379"/>
      <c r="BP391" s="379"/>
    </row>
    <row r="392" spans="57:68" ht="22.5" customHeight="1">
      <c r="BE392" s="379"/>
      <c r="BF392" s="379"/>
      <c r="BG392" s="379"/>
      <c r="BH392" s="379"/>
      <c r="BI392" s="379"/>
      <c r="BJ392" s="379"/>
      <c r="BK392" s="379"/>
      <c r="BL392" s="379"/>
      <c r="BM392" s="379"/>
      <c r="BN392" s="379"/>
      <c r="BO392" s="379"/>
      <c r="BP392" s="379"/>
    </row>
    <row r="393" spans="57:68" ht="22.5" customHeight="1">
      <c r="BE393" s="379"/>
      <c r="BF393" s="379"/>
      <c r="BG393" s="379"/>
      <c r="BH393" s="379"/>
      <c r="BI393" s="379"/>
      <c r="BJ393" s="379"/>
      <c r="BK393" s="379"/>
      <c r="BL393" s="379"/>
      <c r="BM393" s="379"/>
      <c r="BN393" s="379"/>
      <c r="BO393" s="379"/>
      <c r="BP393" s="379"/>
    </row>
    <row r="394" spans="57:68" ht="22.5" customHeight="1">
      <c r="BE394" s="379"/>
      <c r="BF394" s="379"/>
      <c r="BG394" s="379"/>
      <c r="BH394" s="379"/>
      <c r="BI394" s="379"/>
      <c r="BJ394" s="379"/>
      <c r="BK394" s="379"/>
      <c r="BL394" s="379"/>
      <c r="BM394" s="379"/>
      <c r="BN394" s="379"/>
      <c r="BO394" s="379"/>
      <c r="BP394" s="379"/>
    </row>
    <row r="395" spans="57:68" ht="22.5" customHeight="1">
      <c r="BE395" s="379"/>
      <c r="BF395" s="379"/>
      <c r="BG395" s="379"/>
      <c r="BH395" s="379"/>
      <c r="BI395" s="379"/>
      <c r="BJ395" s="379"/>
      <c r="BK395" s="379"/>
      <c r="BL395" s="379"/>
      <c r="BM395" s="379"/>
      <c r="BN395" s="379"/>
      <c r="BO395" s="379"/>
      <c r="BP395" s="379"/>
    </row>
    <row r="396" spans="57:68" ht="22.5" customHeight="1"/>
    <row r="397" spans="57:68" ht="22.5" customHeight="1"/>
    <row r="398" spans="57:68" ht="22.5" customHeight="1"/>
    <row r="399" spans="57:68" ht="22.5" customHeight="1"/>
    <row r="400" spans="57:68" ht="22.5" customHeight="1"/>
    <row r="401" ht="22.5" customHeight="1"/>
    <row r="402" ht="22.5" customHeight="1"/>
    <row r="403" ht="22.5" customHeight="1"/>
    <row r="404" ht="22.5" customHeight="1"/>
    <row r="405" ht="22.5" customHeight="1"/>
    <row r="406" ht="22.5" customHeight="1"/>
    <row r="407" ht="22.5" customHeight="1"/>
    <row r="408" ht="22.5" customHeight="1"/>
    <row r="409" ht="22.5" customHeight="1"/>
    <row r="410" ht="22.5" customHeight="1"/>
    <row r="411" ht="22.5" customHeight="1"/>
    <row r="412" ht="22.5" customHeight="1"/>
    <row r="413" ht="22.5" customHeight="1"/>
    <row r="414" ht="22.5" customHeight="1"/>
    <row r="415" ht="22.5" customHeight="1"/>
    <row r="416" ht="22.5" customHeight="1"/>
    <row r="417" ht="22.5" customHeight="1"/>
    <row r="418" ht="22.5" customHeight="1"/>
    <row r="419" ht="22.5" customHeight="1"/>
    <row r="420" ht="22.5" customHeight="1"/>
    <row r="421" ht="22.5" customHeight="1"/>
    <row r="422" ht="22.5" customHeight="1"/>
    <row r="423" ht="22.5" customHeight="1"/>
    <row r="424" ht="22.5" customHeight="1"/>
    <row r="425" ht="22.5" customHeight="1"/>
    <row r="426" ht="22.5" customHeight="1"/>
    <row r="427" ht="22.5" customHeight="1"/>
    <row r="428" ht="22.5" customHeight="1"/>
    <row r="429" ht="22.5" customHeight="1"/>
    <row r="430" ht="22.5" customHeight="1"/>
    <row r="431" ht="22.5" customHeight="1"/>
    <row r="432" ht="22.5" customHeight="1"/>
    <row r="433" ht="22.5" customHeight="1"/>
    <row r="434" ht="22.5" customHeight="1"/>
    <row r="435" ht="22.5" customHeight="1"/>
    <row r="436" ht="22.5" customHeight="1"/>
    <row r="437" ht="22.5" customHeight="1"/>
    <row r="438" ht="22.5" customHeight="1"/>
    <row r="439" ht="22.5" customHeight="1"/>
    <row r="440" ht="22.5" customHeight="1"/>
    <row r="441" ht="22.5" customHeight="1"/>
  </sheetData>
  <mergeCells count="114">
    <mergeCell ref="AE4:AE6"/>
    <mergeCell ref="AF4:AF6"/>
    <mergeCell ref="A3:A6"/>
    <mergeCell ref="B3:B6"/>
    <mergeCell ref="C3:C6"/>
    <mergeCell ref="D3:D6"/>
    <mergeCell ref="E3:E6"/>
    <mergeCell ref="F3:F6"/>
    <mergeCell ref="Z5:Z6"/>
    <mergeCell ref="J3:J6"/>
    <mergeCell ref="K3:Q3"/>
    <mergeCell ref="S3:X3"/>
    <mergeCell ref="Y3:AB3"/>
    <mergeCell ref="W5:W6"/>
    <mergeCell ref="X5:X6"/>
    <mergeCell ref="AA5:AA6"/>
    <mergeCell ref="N5:N6"/>
    <mergeCell ref="AB5:AB6"/>
    <mergeCell ref="BS3:BS5"/>
    <mergeCell ref="BV3:BV5"/>
    <mergeCell ref="AP4:AP6"/>
    <mergeCell ref="H1:X1"/>
    <mergeCell ref="L2:R2"/>
    <mergeCell ref="H5:H6"/>
    <mergeCell ref="K5:K6"/>
    <mergeCell ref="L5:L6"/>
    <mergeCell ref="S5:S6"/>
    <mergeCell ref="T5:T6"/>
    <mergeCell ref="U5:U6"/>
    <mergeCell ref="V5:V6"/>
    <mergeCell ref="M5:M6"/>
    <mergeCell ref="G3:H4"/>
    <mergeCell ref="I3:I6"/>
    <mergeCell ref="G5:G6"/>
    <mergeCell ref="O5:O6"/>
    <mergeCell ref="P5:P6"/>
    <mergeCell ref="Q5:Q6"/>
    <mergeCell ref="AJ3:AL3"/>
    <mergeCell ref="AD3:AD6"/>
    <mergeCell ref="AE3:AG3"/>
    <mergeCell ref="AH3:AH6"/>
    <mergeCell ref="AI3:AI6"/>
    <mergeCell ref="AN3:AN6"/>
    <mergeCell ref="AO3:AO6"/>
    <mergeCell ref="AG4:AG6"/>
    <mergeCell ref="AK4:AK6"/>
    <mergeCell ref="A7:Q7"/>
    <mergeCell ref="CI3:CI6"/>
    <mergeCell ref="BY3:BY5"/>
    <mergeCell ref="BD3:BD6"/>
    <mergeCell ref="BE3:BE6"/>
    <mergeCell ref="CE3:CH4"/>
    <mergeCell ref="BH3:BM4"/>
    <mergeCell ref="BN3:BO4"/>
    <mergeCell ref="BW3:BW5"/>
    <mergeCell ref="CE5:CF5"/>
    <mergeCell ref="BZ3:BZ6"/>
    <mergeCell ref="CG5:CH5"/>
    <mergeCell ref="BW6:BY6"/>
    <mergeCell ref="CA3:CA6"/>
    <mergeCell ref="CB3:CB6"/>
    <mergeCell ref="CC3:CC6"/>
    <mergeCell ref="CD3:CD6"/>
    <mergeCell ref="BU3:BU5"/>
    <mergeCell ref="BX3:BX5"/>
    <mergeCell ref="BR3:BR5"/>
    <mergeCell ref="A34:F34"/>
    <mergeCell ref="A107:G107"/>
    <mergeCell ref="BR6:BS6"/>
    <mergeCell ref="BT3:BT5"/>
    <mergeCell ref="BP3:BQ4"/>
    <mergeCell ref="BP5:BP6"/>
    <mergeCell ref="BQ5:BQ6"/>
    <mergeCell ref="AZ3:AZ6"/>
    <mergeCell ref="BA3:BA6"/>
    <mergeCell ref="BF3:BF6"/>
    <mergeCell ref="Y5:Y6"/>
    <mergeCell ref="BB3:BB6"/>
    <mergeCell ref="BC3:BC6"/>
    <mergeCell ref="AT4:AT6"/>
    <mergeCell ref="AY3:AY6"/>
    <mergeCell ref="AQ4:AQ6"/>
    <mergeCell ref="AR4:AR6"/>
    <mergeCell ref="AS4:AS6"/>
    <mergeCell ref="AX4:AX6"/>
    <mergeCell ref="AM3:AM6"/>
    <mergeCell ref="AL4:AL6"/>
    <mergeCell ref="AU4:AU6"/>
    <mergeCell ref="AW4:AW6"/>
    <mergeCell ref="AV4:AV6"/>
    <mergeCell ref="A87:H87"/>
    <mergeCell ref="A99:H99"/>
    <mergeCell ref="AP3:AX3"/>
    <mergeCell ref="AJ4:AJ6"/>
    <mergeCell ref="A263:F263"/>
    <mergeCell ref="A204:F204"/>
    <mergeCell ref="A216:BE216"/>
    <mergeCell ref="A231:F231"/>
    <mergeCell ref="A253:BE253"/>
    <mergeCell ref="A191:G191"/>
    <mergeCell ref="A165:Q165"/>
    <mergeCell ref="A156:Q156"/>
    <mergeCell ref="A182:Q182"/>
    <mergeCell ref="A49:F49"/>
    <mergeCell ref="A68:F68"/>
    <mergeCell ref="A76:F76"/>
    <mergeCell ref="A81:H81"/>
    <mergeCell ref="A56:F56"/>
    <mergeCell ref="A21:F21"/>
    <mergeCell ref="A28:F28"/>
    <mergeCell ref="A15:D15"/>
    <mergeCell ref="A243:BE243"/>
    <mergeCell ref="A116:F116"/>
    <mergeCell ref="A139:F139"/>
  </mergeCells>
  <phoneticPr fontId="86" type="noConversion"/>
  <conditionalFormatting sqref="O166:O179 O183:O187 O192 O194:O201 O205:O213 O217:O228 O244:O250 O254:O260 V166:V179 V183:V187 V192:V201 V205:V213 V217:V228 V244:V250 V254:V260 AA232:AA240 AA183:AA187 AA192:AA201 AA205:AA213 AA217:AA228 AA244:AA250 AA254:AA260 AA166:AA179 O232:O240 V232:V240 O264:O270 V264:V270 AA264:AA270 V108:V112 O35:O46 O57:O65 O69:O73 O77:O78 O82:O83 O100:O104 O50:O53 O117:O118 O122:O135 O140:O141 O144:O153 V29:V30 V35:V46 V50:V53 V57:V65 V69 V73 V77:V78 V82:V83 V88:V95 V100:V104 O108:O112 V117:V118 V122:V135 V140:V153 AA29 AA35:AA46 AA50:AA53 AA57:AA65 AA69 AA73 AA77:AA78 AA82:AA83 AA88:AA95 AA100:AA104 AA108:AA112 AA117:AA118 AA122:AA135 AA140:AA153 V22:V25 O16 AA22:AA25 O22:O25 O88:O95 O29:O30 O157:O161 V157:V161 AA157:AA161">
    <cfRule type="cellIs" dxfId="1" priority="6" stopIfTrue="1" operator="greaterThanOrEqual">
      <formula>10</formula>
    </cfRule>
  </conditionalFormatting>
  <dataValidations disablePrompts="1" count="2">
    <dataValidation type="list" allowBlank="1" showErrorMessage="1" errorTitle="Выберите значение из списка" sqref="BI381:BI395">
      <formula1>#REF!</formula1>
      <formula2>0</formula2>
    </dataValidation>
    <dataValidation type="list" allowBlank="1" showErrorMessage="1" errorTitle="Выберите значение из списка" sqref="BF291:BI293 BF296:BF297 BI296:BI297 BF298:BI300 BF330:BI332 BF378:BI380 BG140:BI142 BI138:BI139 BF138:BF142 BF133:BI135 BG170:BI172 BI169:BI172 BF169:BF172">
      <formula1>#REF!</formula1>
      <formula2>0</formula2>
    </dataValidation>
  </dataValidations>
  <pageMargins left="0.1701388888888889" right="0.15972222222222221" top="0.98402777777777772" bottom="0.98402777777777772" header="0.51180555555555551" footer="0.51180555555555551"/>
  <pageSetup paperSize="8" scale="34" firstPageNumber="0" orientation="landscape" r:id="rId1"/>
  <headerFooter alignWithMargins="0"/>
  <colBreaks count="1" manualBreakCount="1">
    <brk id="5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>
    <pageSetUpPr fitToPage="1"/>
  </sheetPr>
  <dimension ref="A1:CV308"/>
  <sheetViews>
    <sheetView zoomScale="55" zoomScaleNormal="55" workbookViewId="0">
      <pane xSplit="4" ySplit="6" topLeftCell="E7" activePane="bottomRight" state="frozen"/>
      <selection pane="topRight" activeCell="H1" sqref="H1"/>
      <selection pane="bottomLeft" activeCell="A7" sqref="A7"/>
      <selection pane="bottomRight" activeCell="I182" sqref="I182"/>
    </sheetView>
  </sheetViews>
  <sheetFormatPr defaultRowHeight="12.75" outlineLevelRow="2" outlineLevelCol="2"/>
  <cols>
    <col min="1" max="1" width="13.5703125" style="1" customWidth="1"/>
    <col min="2" max="3" width="8.140625" style="1" customWidth="1"/>
    <col min="4" max="4" width="29.85546875" style="1" customWidth="1"/>
    <col min="5" max="5" width="13.5703125" style="1" customWidth="1"/>
    <col min="6" max="6" width="9" style="2" hidden="1" customWidth="1"/>
    <col min="7" max="7" width="12.5703125" style="1" customWidth="1"/>
    <col min="8" max="8" width="9" style="1" customWidth="1" outlineLevel="1"/>
    <col min="9" max="9" width="9.42578125" style="1" customWidth="1" outlineLevel="1"/>
    <col min="10" max="10" width="12.140625" style="1" customWidth="1"/>
    <col min="11" max="11" width="19.140625" style="1" customWidth="1"/>
    <col min="12" max="12" width="8.28515625" style="1" customWidth="1" outlineLevel="1"/>
    <col min="13" max="16" width="9.5703125" style="1" customWidth="1"/>
    <col min="17" max="17" width="11" style="1" customWidth="1"/>
    <col min="18" max="18" width="19.7109375" style="1" customWidth="1"/>
    <col min="19" max="22" width="9" style="1" customWidth="1"/>
    <col min="23" max="23" width="8.42578125" style="1" customWidth="1"/>
    <col min="24" max="27" width="9.140625" style="1" hidden="1" customWidth="1" outlineLevel="2"/>
    <col min="28" max="28" width="26.28515625" style="1" hidden="1" customWidth="1" collapsed="1"/>
    <col min="29" max="29" width="13.85546875" style="3" customWidth="1"/>
    <col min="30" max="30" width="12.85546875" style="3" customWidth="1" outlineLevel="1"/>
    <col min="31" max="31" width="11.7109375" style="3" customWidth="1"/>
    <col min="32" max="32" width="8.5703125" style="4" customWidth="1"/>
    <col min="33" max="33" width="11.7109375" style="4" customWidth="1"/>
    <col min="34" max="34" width="9.140625" style="5" hidden="1" customWidth="1" outlineLevel="1"/>
    <col min="35" max="36" width="9.140625" style="3" hidden="1" customWidth="1" outlineLevel="1"/>
    <col min="37" max="38" width="9.140625" style="4" hidden="1" customWidth="1" outlineLevel="1"/>
    <col min="39" max="54" width="9.140625" style="1" hidden="1" customWidth="1" outlineLevel="1"/>
    <col min="55" max="66" width="9.140625" style="6" hidden="1" customWidth="1" outlineLevel="1"/>
    <col min="67" max="67" width="9.140625" style="7" hidden="1" customWidth="1" outlineLevel="1"/>
    <col min="68" max="68" width="12.42578125" style="6" customWidth="1" outlineLevel="1" collapsed="1"/>
    <col min="69" max="69" width="12.42578125" style="6" customWidth="1" outlineLevel="1"/>
    <col min="70" max="70" width="10.140625" style="6" hidden="1" customWidth="1" outlineLevel="1"/>
    <col min="71" max="71" width="9.85546875" style="6" hidden="1" customWidth="1" outlineLevel="1"/>
    <col min="72" max="72" width="11.28515625" style="6" hidden="1" customWidth="1" outlineLevel="1"/>
    <col min="73" max="73" width="9.5703125" style="6" hidden="1" customWidth="1" outlineLevel="1"/>
    <col min="74" max="74" width="7.85546875" style="6" hidden="1" customWidth="1" outlineLevel="1"/>
    <col min="75" max="83" width="9.140625" hidden="1" customWidth="1" outlineLevel="1"/>
    <col min="84" max="84" width="9.140625" style="1" hidden="1" customWidth="1" outlineLevel="1"/>
    <col min="85" max="85" width="15.7109375" style="6" hidden="1" customWidth="1"/>
    <col min="86" max="98" width="9.140625" style="1302" hidden="1" customWidth="1" outlineLevel="1"/>
    <col min="99" max="99" width="9.140625" style="8" collapsed="1"/>
    <col min="100" max="165" width="9.140625" style="8"/>
    <col min="166" max="166" width="26.28515625" style="8" customWidth="1"/>
    <col min="167" max="16384" width="9.140625" style="8"/>
  </cols>
  <sheetData>
    <row r="1" spans="1:99" ht="17.25" customHeight="1">
      <c r="A1" s="9">
        <v>2</v>
      </c>
      <c r="B1" s="10" t="str">
        <f>"&lt;="&amp;B2</f>
        <v>&lt;=28</v>
      </c>
      <c r="C1" s="10" t="str">
        <f>"&lt;&gt;"&amp;""</f>
        <v>&lt;&gt;</v>
      </c>
      <c r="D1" s="11">
        <v>42036</v>
      </c>
      <c r="E1" s="11"/>
      <c r="F1" s="12"/>
      <c r="G1" s="12"/>
      <c r="H1" s="2182" t="s">
        <v>0</v>
      </c>
      <c r="I1" s="2182"/>
      <c r="J1" s="2182"/>
      <c r="K1" s="2182"/>
      <c r="L1" s="2182"/>
      <c r="M1" s="2182"/>
      <c r="N1" s="2182"/>
      <c r="O1" s="2182"/>
      <c r="P1" s="2182"/>
      <c r="Q1" s="2182"/>
      <c r="R1" s="2182"/>
      <c r="S1" s="2182"/>
      <c r="T1" s="2182"/>
      <c r="U1" s="2182"/>
      <c r="V1" s="2182"/>
      <c r="W1" s="2182"/>
      <c r="X1" s="12"/>
      <c r="Y1" s="12"/>
      <c r="Z1" s="12"/>
      <c r="AA1" s="12"/>
      <c r="AB1" s="13"/>
      <c r="AC1" s="14"/>
      <c r="AD1" s="15"/>
      <c r="AE1" s="15"/>
      <c r="AF1" s="16"/>
      <c r="AG1" s="16"/>
      <c r="AH1" s="17"/>
      <c r="AI1" s="15"/>
      <c r="AJ1" s="15"/>
      <c r="AK1" s="16"/>
      <c r="AL1" s="16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9"/>
      <c r="AY1" s="19"/>
      <c r="AZ1" s="19"/>
      <c r="BA1" s="19"/>
      <c r="BB1" s="20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CB1" s="22" t="str">
        <f>"&lt;="&amp;CB7</f>
        <v>&lt;=39447</v>
      </c>
      <c r="CF1" s="13"/>
      <c r="CG1" s="1303"/>
    </row>
    <row r="2" spans="1:99" ht="17.25" customHeight="1">
      <c r="A2" s="9">
        <f>CHOOSE(A1,31,28,31,30,31,30,31,31,30,31,30,31)</f>
        <v>28</v>
      </c>
      <c r="B2" s="9">
        <f>R2</f>
        <v>28</v>
      </c>
      <c r="C2" s="23"/>
      <c r="D2" s="1886">
        <v>42036</v>
      </c>
      <c r="E2" s="24"/>
      <c r="F2" s="24"/>
      <c r="G2" s="24"/>
      <c r="H2" s="24"/>
      <c r="I2" s="24"/>
      <c r="J2" s="24"/>
      <c r="K2" s="25"/>
      <c r="L2" s="2183">
        <f ca="1">TODAY()-1</f>
        <v>43440</v>
      </c>
      <c r="M2" s="2183"/>
      <c r="N2" s="2183"/>
      <c r="O2" s="2183"/>
      <c r="P2" s="2183"/>
      <c r="Q2" s="2183"/>
      <c r="R2" s="26">
        <v>28</v>
      </c>
      <c r="S2" s="27" t="s">
        <v>299</v>
      </c>
      <c r="T2" s="21"/>
      <c r="U2" s="28" t="s">
        <v>300</v>
      </c>
      <c r="V2" s="13"/>
      <c r="W2" s="13"/>
      <c r="X2" s="27"/>
      <c r="Y2" s="21"/>
      <c r="Z2" s="28"/>
      <c r="AA2" s="13"/>
      <c r="AB2" s="13"/>
      <c r="AC2" s="29"/>
      <c r="AD2" s="29"/>
      <c r="AE2" s="29"/>
      <c r="AF2" s="30"/>
      <c r="AG2" s="30"/>
      <c r="AH2" s="31"/>
      <c r="AI2" s="29"/>
      <c r="AJ2" s="29"/>
      <c r="AK2" s="30"/>
      <c r="AL2" s="30"/>
      <c r="AM2" s="32"/>
      <c r="AN2" s="30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20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P2" s="21"/>
      <c r="BQ2" s="21"/>
      <c r="BR2" s="21"/>
      <c r="BS2" s="21"/>
      <c r="BT2" s="21"/>
      <c r="BU2" s="21"/>
      <c r="BV2" s="21"/>
      <c r="CB2" s="21"/>
      <c r="CF2" s="13"/>
      <c r="CG2" s="1303"/>
    </row>
    <row r="3" spans="1:99" s="36" customFormat="1" ht="35.25" customHeight="1">
      <c r="A3" s="2164" t="s">
        <v>1</v>
      </c>
      <c r="B3" s="2145" t="s">
        <v>2</v>
      </c>
      <c r="C3" s="2145" t="s">
        <v>3</v>
      </c>
      <c r="D3" s="2145" t="s">
        <v>4</v>
      </c>
      <c r="E3" s="2145" t="s">
        <v>5</v>
      </c>
      <c r="F3" s="2145" t="s">
        <v>6</v>
      </c>
      <c r="G3" s="2145" t="s">
        <v>7</v>
      </c>
      <c r="H3" s="2145"/>
      <c r="I3" s="2145" t="s">
        <v>8</v>
      </c>
      <c r="J3" s="2145" t="s">
        <v>9</v>
      </c>
      <c r="K3" s="2162" t="s">
        <v>10</v>
      </c>
      <c r="L3" s="2162"/>
      <c r="M3" s="2162"/>
      <c r="N3" s="2162"/>
      <c r="O3" s="2162"/>
      <c r="P3" s="2162"/>
      <c r="Q3" s="2162"/>
      <c r="R3" s="2145" t="s">
        <v>11</v>
      </c>
      <c r="S3" s="2145"/>
      <c r="T3" s="2145"/>
      <c r="U3" s="2145"/>
      <c r="V3" s="2145"/>
      <c r="W3" s="2145"/>
      <c r="X3" s="2145" t="s">
        <v>12</v>
      </c>
      <c r="Y3" s="2145"/>
      <c r="Z3" s="2145"/>
      <c r="AA3" s="2145"/>
      <c r="AB3" s="2145" t="s">
        <v>13</v>
      </c>
      <c r="AC3" s="2204" t="s">
        <v>14</v>
      </c>
      <c r="AD3" s="2204"/>
      <c r="AE3" s="2205"/>
      <c r="AF3" s="2208" t="s">
        <v>15</v>
      </c>
      <c r="AG3" s="2209" t="s">
        <v>16</v>
      </c>
      <c r="AH3" s="2189" t="s">
        <v>17</v>
      </c>
      <c r="AI3" s="2189"/>
      <c r="AJ3" s="2189"/>
      <c r="AK3" s="2187" t="s">
        <v>15</v>
      </c>
      <c r="AL3" s="2187" t="s">
        <v>16</v>
      </c>
      <c r="AM3" s="2193" t="s">
        <v>18</v>
      </c>
      <c r="AN3" s="2192" t="s">
        <v>19</v>
      </c>
      <c r="AO3" s="2192"/>
      <c r="AP3" s="2192"/>
      <c r="AQ3" s="2192"/>
      <c r="AR3" s="2192"/>
      <c r="AS3" s="2192"/>
      <c r="AT3" s="2192"/>
      <c r="AU3" s="2192"/>
      <c r="AV3" s="2192"/>
      <c r="AW3" s="2192" t="s">
        <v>20</v>
      </c>
      <c r="AX3" s="2165" t="s">
        <v>21</v>
      </c>
      <c r="AY3" s="2165" t="s">
        <v>22</v>
      </c>
      <c r="AZ3" s="2165" t="s">
        <v>23</v>
      </c>
      <c r="BA3" s="2165" t="s">
        <v>24</v>
      </c>
      <c r="BB3" s="2191" t="s">
        <v>25</v>
      </c>
      <c r="BC3" s="2156" t="s">
        <v>26</v>
      </c>
      <c r="BD3" s="2160" t="s">
        <v>27</v>
      </c>
      <c r="BE3" s="33"/>
      <c r="BF3" s="2156" t="s">
        <v>207</v>
      </c>
      <c r="BG3" s="2156"/>
      <c r="BH3" s="2156"/>
      <c r="BI3" s="2156"/>
      <c r="BJ3" s="2156"/>
      <c r="BK3" s="2156"/>
      <c r="BL3" s="2157" t="s">
        <v>29</v>
      </c>
      <c r="BM3" s="2157"/>
      <c r="BN3" s="2156" t="s">
        <v>30</v>
      </c>
      <c r="BO3" s="2156"/>
      <c r="BP3" s="2155" t="s">
        <v>309</v>
      </c>
      <c r="BQ3" s="2175" t="s">
        <v>310</v>
      </c>
      <c r="BR3" s="2201" t="s">
        <v>32</v>
      </c>
      <c r="BS3" s="2181" t="s">
        <v>33</v>
      </c>
      <c r="BT3" s="2168" t="s">
        <v>32</v>
      </c>
      <c r="BU3" s="2178" t="s">
        <v>31</v>
      </c>
      <c r="BV3" s="2166"/>
      <c r="BW3" s="2170" t="s">
        <v>34</v>
      </c>
      <c r="BX3" s="2173" t="s">
        <v>35</v>
      </c>
      <c r="BY3" s="2173" t="s">
        <v>36</v>
      </c>
      <c r="BZ3" s="2173" t="s">
        <v>37</v>
      </c>
      <c r="CA3" s="2174" t="s">
        <v>38</v>
      </c>
      <c r="CB3" s="2202" t="s">
        <v>39</v>
      </c>
      <c r="CC3" s="2202"/>
      <c r="CD3" s="2202"/>
      <c r="CE3" s="2202"/>
      <c r="CF3" s="2191" t="s">
        <v>40</v>
      </c>
      <c r="CG3" s="2198" t="s">
        <v>208</v>
      </c>
      <c r="CH3" s="2199" t="s">
        <v>209</v>
      </c>
      <c r="CI3" s="2199"/>
      <c r="CJ3" s="2199"/>
      <c r="CK3" s="2199"/>
      <c r="CL3" s="2199"/>
      <c r="CM3" s="2200" t="s">
        <v>210</v>
      </c>
      <c r="CN3" s="2200"/>
      <c r="CO3" s="2200"/>
      <c r="CP3" s="2199" t="s">
        <v>211</v>
      </c>
      <c r="CQ3" s="2199"/>
      <c r="CR3" s="2199"/>
      <c r="CS3" s="2199"/>
      <c r="CT3" s="2199"/>
    </row>
    <row r="4" spans="1:99" ht="38.25" customHeight="1">
      <c r="A4" s="2164"/>
      <c r="B4" s="2145"/>
      <c r="C4" s="2145"/>
      <c r="D4" s="2145"/>
      <c r="E4" s="2145"/>
      <c r="F4" s="2145"/>
      <c r="G4" s="2145"/>
      <c r="H4" s="2145"/>
      <c r="I4" s="2145"/>
      <c r="J4" s="2145"/>
      <c r="K4" s="1713" t="s">
        <v>41</v>
      </c>
      <c r="L4" s="1714" t="s">
        <v>42</v>
      </c>
      <c r="M4" s="1714" t="s">
        <v>43</v>
      </c>
      <c r="N4" s="1714" t="s">
        <v>44</v>
      </c>
      <c r="O4" s="1714" t="s">
        <v>45</v>
      </c>
      <c r="P4" s="1714" t="s">
        <v>46</v>
      </c>
      <c r="Q4" s="1714" t="s">
        <v>252</v>
      </c>
      <c r="R4" s="1715" t="s">
        <v>41</v>
      </c>
      <c r="S4" s="1715" t="s">
        <v>43</v>
      </c>
      <c r="T4" s="1715" t="s">
        <v>44</v>
      </c>
      <c r="U4" s="1715" t="s">
        <v>45</v>
      </c>
      <c r="V4" s="1715" t="s">
        <v>46</v>
      </c>
      <c r="W4" s="1714" t="s">
        <v>47</v>
      </c>
      <c r="X4" s="1715" t="s">
        <v>43</v>
      </c>
      <c r="Y4" s="1715" t="s">
        <v>44</v>
      </c>
      <c r="Z4" s="1715" t="s">
        <v>45</v>
      </c>
      <c r="AA4" s="1715" t="s">
        <v>46</v>
      </c>
      <c r="AB4" s="2145"/>
      <c r="AC4" s="2146" t="s">
        <v>48</v>
      </c>
      <c r="AD4" s="2146" t="s">
        <v>49</v>
      </c>
      <c r="AE4" s="2206" t="s">
        <v>50</v>
      </c>
      <c r="AF4" s="2208"/>
      <c r="AG4" s="2209"/>
      <c r="AH4" s="2207" t="s">
        <v>48</v>
      </c>
      <c r="AI4" s="2188" t="s">
        <v>49</v>
      </c>
      <c r="AJ4" s="2188" t="s">
        <v>50</v>
      </c>
      <c r="AK4" s="2187"/>
      <c r="AL4" s="2187"/>
      <c r="AM4" s="2193"/>
      <c r="AN4" s="2194" t="s">
        <v>51</v>
      </c>
      <c r="AO4" s="2192" t="s">
        <v>52</v>
      </c>
      <c r="AP4" s="2192" t="s">
        <v>53</v>
      </c>
      <c r="AQ4" s="2192" t="s">
        <v>54</v>
      </c>
      <c r="AR4" s="2192" t="s">
        <v>55</v>
      </c>
      <c r="AS4" s="2192" t="s">
        <v>56</v>
      </c>
      <c r="AT4" s="2192" t="s">
        <v>57</v>
      </c>
      <c r="AU4" s="2192" t="s">
        <v>58</v>
      </c>
      <c r="AV4" s="2195" t="s">
        <v>59</v>
      </c>
      <c r="AW4" s="2192"/>
      <c r="AX4" s="2165"/>
      <c r="AY4" s="2165"/>
      <c r="AZ4" s="2165"/>
      <c r="BA4" s="2165"/>
      <c r="BB4" s="2191"/>
      <c r="BC4" s="2156"/>
      <c r="BD4" s="2160"/>
      <c r="BE4" s="37"/>
      <c r="BF4" s="2156"/>
      <c r="BG4" s="2156"/>
      <c r="BH4" s="2156"/>
      <c r="BI4" s="2156"/>
      <c r="BJ4" s="2156"/>
      <c r="BK4" s="2156"/>
      <c r="BL4" s="2157"/>
      <c r="BM4" s="2157"/>
      <c r="BN4" s="2156"/>
      <c r="BO4" s="2156"/>
      <c r="BP4" s="2155"/>
      <c r="BQ4" s="2176"/>
      <c r="BR4" s="2201"/>
      <c r="BS4" s="2181"/>
      <c r="BT4" s="2168"/>
      <c r="BU4" s="2178"/>
      <c r="BV4" s="2166"/>
      <c r="BW4" s="2170"/>
      <c r="BX4" s="2173"/>
      <c r="BY4" s="2173"/>
      <c r="BZ4" s="2173"/>
      <c r="CA4" s="2174"/>
      <c r="CB4" s="2202"/>
      <c r="CC4" s="2202"/>
      <c r="CD4" s="2202"/>
      <c r="CE4" s="2202"/>
      <c r="CF4" s="2191"/>
      <c r="CG4" s="2198"/>
      <c r="CH4" s="2203" t="s">
        <v>212</v>
      </c>
      <c r="CI4" s="2203"/>
      <c r="CJ4" s="2203"/>
      <c r="CK4" s="2197" t="s">
        <v>213</v>
      </c>
      <c r="CL4" s="2197"/>
      <c r="CM4" s="2200"/>
      <c r="CN4" s="2200"/>
      <c r="CO4" s="2200"/>
      <c r="CP4" s="2203" t="s">
        <v>214</v>
      </c>
      <c r="CQ4" s="2203"/>
      <c r="CR4" s="2203"/>
      <c r="CS4" s="2197" t="s">
        <v>215</v>
      </c>
      <c r="CT4" s="2197"/>
    </row>
    <row r="5" spans="1:99" ht="55.15" customHeight="1">
      <c r="A5" s="2164"/>
      <c r="B5" s="2145"/>
      <c r="C5" s="2145"/>
      <c r="D5" s="2145"/>
      <c r="E5" s="2145"/>
      <c r="F5" s="2145"/>
      <c r="G5" s="2145" t="s">
        <v>60</v>
      </c>
      <c r="H5" s="2145" t="s">
        <v>61</v>
      </c>
      <c r="I5" s="2145"/>
      <c r="J5" s="2145"/>
      <c r="K5" s="2162" t="s">
        <v>62</v>
      </c>
      <c r="L5" s="2162" t="s">
        <v>63</v>
      </c>
      <c r="M5" s="2162" t="s">
        <v>63</v>
      </c>
      <c r="N5" s="2162" t="s">
        <v>64</v>
      </c>
      <c r="O5" s="2162" t="s">
        <v>24</v>
      </c>
      <c r="P5" s="2162" t="s">
        <v>65</v>
      </c>
      <c r="Q5" s="2162" t="s">
        <v>65</v>
      </c>
      <c r="R5" s="2145" t="s">
        <v>62</v>
      </c>
      <c r="S5" s="2145" t="s">
        <v>63</v>
      </c>
      <c r="T5" s="2145" t="s">
        <v>64</v>
      </c>
      <c r="U5" s="2145" t="s">
        <v>24</v>
      </c>
      <c r="V5" s="2145" t="s">
        <v>65</v>
      </c>
      <c r="W5" s="2162" t="s">
        <v>65</v>
      </c>
      <c r="X5" s="2145" t="s">
        <v>63</v>
      </c>
      <c r="Y5" s="2145" t="s">
        <v>64</v>
      </c>
      <c r="Z5" s="2145" t="s">
        <v>24</v>
      </c>
      <c r="AA5" s="2145" t="s">
        <v>65</v>
      </c>
      <c r="AB5" s="2145"/>
      <c r="AC5" s="2146"/>
      <c r="AD5" s="2146"/>
      <c r="AE5" s="2206"/>
      <c r="AF5" s="2208"/>
      <c r="AG5" s="2209"/>
      <c r="AH5" s="2207"/>
      <c r="AI5" s="2188"/>
      <c r="AJ5" s="2188"/>
      <c r="AK5" s="2187"/>
      <c r="AL5" s="2187"/>
      <c r="AM5" s="2193"/>
      <c r="AN5" s="2194"/>
      <c r="AO5" s="2192"/>
      <c r="AP5" s="2192"/>
      <c r="AQ5" s="2192"/>
      <c r="AR5" s="2192"/>
      <c r="AS5" s="2192"/>
      <c r="AT5" s="2192"/>
      <c r="AU5" s="2192"/>
      <c r="AV5" s="2195" t="s">
        <v>59</v>
      </c>
      <c r="AW5" s="2192"/>
      <c r="AX5" s="2165"/>
      <c r="AY5" s="2165"/>
      <c r="AZ5" s="2165"/>
      <c r="BA5" s="2165"/>
      <c r="BB5" s="2191"/>
      <c r="BC5" s="2156"/>
      <c r="BD5" s="2160"/>
      <c r="BE5" s="37" t="s">
        <v>66</v>
      </c>
      <c r="BF5" s="34" t="s">
        <v>67</v>
      </c>
      <c r="BG5" s="34" t="s">
        <v>68</v>
      </c>
      <c r="BH5" s="34" t="s">
        <v>24</v>
      </c>
      <c r="BI5" s="34" t="s">
        <v>69</v>
      </c>
      <c r="BJ5" s="34"/>
      <c r="BK5" s="34" t="s">
        <v>70</v>
      </c>
      <c r="BL5" s="34" t="s">
        <v>71</v>
      </c>
      <c r="BM5" s="34" t="s">
        <v>68</v>
      </c>
      <c r="BN5" s="2157" t="s">
        <v>72</v>
      </c>
      <c r="BO5" s="2158" t="s">
        <v>73</v>
      </c>
      <c r="BP5" s="2155"/>
      <c r="BQ5" s="2176"/>
      <c r="BR5" s="2201"/>
      <c r="BS5" s="2181"/>
      <c r="BT5" s="2168"/>
      <c r="BU5" s="2178"/>
      <c r="BV5" s="2166"/>
      <c r="BW5" s="2170"/>
      <c r="BX5" s="2173"/>
      <c r="BY5" s="2173"/>
      <c r="BZ5" s="2173"/>
      <c r="CA5" s="2174"/>
      <c r="CB5" s="2169" t="s">
        <v>74</v>
      </c>
      <c r="CC5" s="2169"/>
      <c r="CD5" s="2171" t="s">
        <v>75</v>
      </c>
      <c r="CE5" s="2171"/>
      <c r="CF5" s="2191"/>
      <c r="CG5" s="2198"/>
      <c r="CH5" s="1304" t="s">
        <v>216</v>
      </c>
      <c r="CI5" s="1305" t="s">
        <v>217</v>
      </c>
      <c r="CJ5" s="1305" t="s">
        <v>91</v>
      </c>
      <c r="CK5" s="1305" t="s">
        <v>218</v>
      </c>
      <c r="CL5" s="1305" t="s">
        <v>219</v>
      </c>
      <c r="CM5" s="1305" t="s">
        <v>216</v>
      </c>
      <c r="CN5" s="1305" t="s">
        <v>217</v>
      </c>
      <c r="CO5" s="1306" t="s">
        <v>91</v>
      </c>
      <c r="CP5" s="1304" t="s">
        <v>216</v>
      </c>
      <c r="CQ5" s="1305" t="s">
        <v>217</v>
      </c>
      <c r="CR5" s="1305" t="s">
        <v>91</v>
      </c>
      <c r="CS5" s="1305" t="s">
        <v>218</v>
      </c>
      <c r="CT5" s="1305" t="s">
        <v>219</v>
      </c>
    </row>
    <row r="6" spans="1:99" ht="39" thickBot="1">
      <c r="A6" s="2164"/>
      <c r="B6" s="2145"/>
      <c r="C6" s="2145"/>
      <c r="D6" s="2145"/>
      <c r="E6" s="2145"/>
      <c r="F6" s="2145"/>
      <c r="G6" s="2145"/>
      <c r="H6" s="2145"/>
      <c r="I6" s="2145"/>
      <c r="J6" s="2145"/>
      <c r="K6" s="2162"/>
      <c r="L6" s="2162"/>
      <c r="M6" s="2162"/>
      <c r="N6" s="2162"/>
      <c r="O6" s="2162"/>
      <c r="P6" s="2162"/>
      <c r="Q6" s="2162"/>
      <c r="R6" s="2145"/>
      <c r="S6" s="2145"/>
      <c r="T6" s="2145"/>
      <c r="U6" s="2145"/>
      <c r="V6" s="2145"/>
      <c r="W6" s="2162"/>
      <c r="X6" s="2145"/>
      <c r="Y6" s="2145"/>
      <c r="Z6" s="2145"/>
      <c r="AA6" s="2145"/>
      <c r="AB6" s="2145"/>
      <c r="AC6" s="2146"/>
      <c r="AD6" s="2146"/>
      <c r="AE6" s="2206"/>
      <c r="AF6" s="2208"/>
      <c r="AG6" s="2209"/>
      <c r="AH6" s="2207"/>
      <c r="AI6" s="2188"/>
      <c r="AJ6" s="2188"/>
      <c r="AK6" s="2187"/>
      <c r="AL6" s="2187"/>
      <c r="AM6" s="2193"/>
      <c r="AN6" s="2194"/>
      <c r="AO6" s="2192"/>
      <c r="AP6" s="2192"/>
      <c r="AQ6" s="2192"/>
      <c r="AR6" s="2192"/>
      <c r="AS6" s="2192"/>
      <c r="AT6" s="2192"/>
      <c r="AU6" s="2192"/>
      <c r="AV6" s="2195"/>
      <c r="AW6" s="2192"/>
      <c r="AX6" s="2165"/>
      <c r="AY6" s="2165"/>
      <c r="AZ6" s="2165"/>
      <c r="BA6" s="2165"/>
      <c r="BB6" s="2191"/>
      <c r="BC6" s="2156"/>
      <c r="BD6" s="2160"/>
      <c r="BE6" s="38"/>
      <c r="BF6" s="35"/>
      <c r="BG6" s="39"/>
      <c r="BH6" s="39"/>
      <c r="BI6" s="39"/>
      <c r="BJ6" s="39"/>
      <c r="BK6" s="39"/>
      <c r="BL6" s="39"/>
      <c r="BM6" s="35"/>
      <c r="BN6" s="2157"/>
      <c r="BO6" s="2158"/>
      <c r="BP6" s="2153" t="s">
        <v>243</v>
      </c>
      <c r="BQ6" s="2196"/>
      <c r="BR6" s="1865"/>
      <c r="BS6" s="1866"/>
      <c r="BT6" s="2172" t="s">
        <v>76</v>
      </c>
      <c r="BU6" s="2172"/>
      <c r="BV6" s="2172"/>
      <c r="BW6" s="2170"/>
      <c r="BX6" s="2173"/>
      <c r="BY6" s="2173"/>
      <c r="BZ6" s="2173"/>
      <c r="CA6" s="2174"/>
      <c r="CB6" s="40" t="s">
        <v>2</v>
      </c>
      <c r="CC6" s="41" t="s">
        <v>77</v>
      </c>
      <c r="CD6" s="41" t="s">
        <v>2</v>
      </c>
      <c r="CE6" s="42" t="s">
        <v>78</v>
      </c>
      <c r="CF6" s="2191"/>
      <c r="CG6" s="2198"/>
      <c r="CH6" s="1307" t="s">
        <v>24</v>
      </c>
      <c r="CI6" s="1308" t="s">
        <v>24</v>
      </c>
      <c r="CJ6" s="1308" t="s">
        <v>24</v>
      </c>
      <c r="CK6" s="1308" t="s">
        <v>142</v>
      </c>
      <c r="CL6" s="1308" t="s">
        <v>142</v>
      </c>
      <c r="CM6" s="1309" t="s">
        <v>142</v>
      </c>
      <c r="CN6" s="1309" t="s">
        <v>142</v>
      </c>
      <c r="CO6" s="1310" t="s">
        <v>142</v>
      </c>
      <c r="CP6" s="1307" t="s">
        <v>24</v>
      </c>
      <c r="CQ6" s="1308" t="s">
        <v>24</v>
      </c>
      <c r="CR6" s="1308" t="s">
        <v>24</v>
      </c>
      <c r="CS6" s="1308" t="s">
        <v>142</v>
      </c>
      <c r="CT6" s="1308" t="s">
        <v>142</v>
      </c>
    </row>
    <row r="7" spans="1:99" ht="26.25">
      <c r="A7" s="2144" t="s">
        <v>289</v>
      </c>
      <c r="B7" s="2144"/>
      <c r="C7" s="2144"/>
      <c r="D7" s="2144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1703"/>
      <c r="AF7" s="44"/>
      <c r="AG7" s="1813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5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78"/>
      <c r="BP7" s="1909"/>
      <c r="BQ7" s="1892"/>
      <c r="BR7" s="48"/>
      <c r="BS7" s="49"/>
      <c r="BT7" s="50"/>
      <c r="BU7" s="51"/>
      <c r="BV7" s="49"/>
      <c r="BW7" s="52"/>
      <c r="BX7" s="53"/>
      <c r="BY7" s="54" t="s">
        <v>80</v>
      </c>
      <c r="BZ7" s="55" t="s">
        <v>81</v>
      </c>
      <c r="CA7" s="55" t="s">
        <v>82</v>
      </c>
      <c r="CB7" s="56">
        <f>CC7-1</f>
        <v>39447</v>
      </c>
      <c r="CC7" s="57">
        <v>39448</v>
      </c>
      <c r="CD7" s="56">
        <f ca="1">TODAY()</f>
        <v>43441</v>
      </c>
      <c r="CE7" s="58" t="b">
        <f ca="1">IF(CC7=CD7,TRUE)</f>
        <v>0</v>
      </c>
      <c r="CF7" s="55"/>
      <c r="CG7" s="1311"/>
      <c r="CH7" s="1312"/>
      <c r="CI7" s="1312"/>
      <c r="CJ7" s="1312"/>
      <c r="CK7" s="1313"/>
      <c r="CL7" s="1314"/>
      <c r="CM7" s="1315"/>
      <c r="CN7" s="1315"/>
      <c r="CO7" s="1315"/>
      <c r="CP7" s="1312"/>
      <c r="CQ7" s="1312"/>
      <c r="CR7" s="1312"/>
      <c r="CS7" s="1313"/>
      <c r="CT7" s="1314"/>
    </row>
    <row r="8" spans="1:99" ht="32.25" customHeight="1">
      <c r="A8" s="310">
        <f>DAY(AE8)</f>
        <v>28</v>
      </c>
      <c r="B8" s="60">
        <v>500</v>
      </c>
      <c r="C8" s="60">
        <v>5</v>
      </c>
      <c r="D8" s="62" t="s">
        <v>304</v>
      </c>
      <c r="E8" s="62"/>
      <c r="F8" s="63"/>
      <c r="G8" s="80">
        <f>M8-S8</f>
        <v>89</v>
      </c>
      <c r="H8" s="80">
        <f>M8-S8</f>
        <v>89</v>
      </c>
      <c r="I8" s="80">
        <f>IF($B$2&gt;=A8,($B$2-A8+1)*H8,"-")</f>
        <v>89</v>
      </c>
      <c r="J8" s="65">
        <f>($A$2-A8+1)*H8</f>
        <v>89</v>
      </c>
      <c r="K8" s="629" t="s">
        <v>262</v>
      </c>
      <c r="L8" s="252">
        <f ca="1">IF((AC8)&lt;$L$2-DAY($L$2)+1,H8,H8+S8)</f>
        <v>89</v>
      </c>
      <c r="M8" s="65">
        <v>89</v>
      </c>
      <c r="N8" s="66">
        <v>97</v>
      </c>
      <c r="O8" s="113">
        <v>0.1</v>
      </c>
      <c r="P8" s="66">
        <v>1900</v>
      </c>
      <c r="Q8" s="112">
        <v>3000</v>
      </c>
      <c r="R8" s="65"/>
      <c r="S8" s="65"/>
      <c r="T8" s="65"/>
      <c r="U8" s="65"/>
      <c r="V8" s="71"/>
      <c r="W8" s="71"/>
      <c r="X8" s="65"/>
      <c r="Y8" s="65"/>
      <c r="Z8" s="65"/>
      <c r="AA8" s="71"/>
      <c r="AB8" s="134" t="s">
        <v>110</v>
      </c>
      <c r="AC8" s="73"/>
      <c r="AD8" s="73">
        <v>42063</v>
      </c>
      <c r="AE8" s="1717">
        <f>AD8</f>
        <v>42063</v>
      </c>
      <c r="AF8" s="78"/>
      <c r="AG8" s="1704"/>
      <c r="AH8" s="276"/>
      <c r="AI8" s="77"/>
      <c r="AJ8" s="77"/>
      <c r="AK8" s="74"/>
      <c r="AL8" s="75"/>
      <c r="AM8" s="78"/>
      <c r="AN8" s="74"/>
      <c r="AO8" s="67"/>
      <c r="AP8" s="1316"/>
      <c r="AQ8" s="80"/>
      <c r="AR8" s="80"/>
      <c r="AS8" s="68"/>
      <c r="AT8" s="68"/>
      <c r="AU8" s="81"/>
      <c r="AV8" s="82"/>
      <c r="AW8" s="83"/>
      <c r="AX8" s="84" t="str">
        <f>IF(AN8&lt;1,"-",AN8)</f>
        <v>-</v>
      </c>
      <c r="AY8" s="64" t="str">
        <f>IF(AX8="-","-",($B$2-AM8+1)*AX8)</f>
        <v>-</v>
      </c>
      <c r="AZ8" s="63" t="str">
        <f>IF(AX8="-","-",AX8-H8)</f>
        <v>-</v>
      </c>
      <c r="BA8" s="312" t="str">
        <f>IF(AX8="-","-",AX8/H8)</f>
        <v>-</v>
      </c>
      <c r="BB8" s="1317">
        <f>IF(AN8&lt;1,IF($B$2&gt;=A8,($A$2-A8+1)*-1*H8,"-"),AX8*($A$2-AM8+1)-H8*($A$2-A8+1))</f>
        <v>-89</v>
      </c>
      <c r="BC8" s="1318"/>
      <c r="BD8" s="89"/>
      <c r="BE8" s="90"/>
      <c r="BF8" s="91"/>
      <c r="BG8" s="91"/>
      <c r="BH8" s="93"/>
      <c r="BI8" s="91"/>
      <c r="BJ8" s="93"/>
      <c r="BK8" s="93"/>
      <c r="BL8" s="91" t="str">
        <f>IF(BF8=0,"-",BF8-AN8)</f>
        <v>-</v>
      </c>
      <c r="BM8" s="91" t="str">
        <f>IF(BG8=0,"-",BG8-AO8)</f>
        <v>-</v>
      </c>
      <c r="BN8" s="94" t="str">
        <f>IF(BL8="-","-",AX8+BL8)</f>
        <v>-</v>
      </c>
      <c r="BO8" s="1319" t="str">
        <f>IF(BL8="-","-",(($B$2-AM8+1)*(AX8+BL8)))</f>
        <v>-</v>
      </c>
      <c r="BP8" s="1908"/>
      <c r="BQ8" s="1855"/>
      <c r="BR8" s="98"/>
      <c r="BS8" s="100"/>
      <c r="BT8" s="284">
        <f>S8</f>
        <v>0</v>
      </c>
      <c r="BU8" s="214">
        <f>AG8</f>
        <v>0</v>
      </c>
      <c r="BV8" s="214">
        <f>IF(AE8&gt;$CC$7,S8,IF(AE8="перех",(S8),"-"))</f>
        <v>0</v>
      </c>
      <c r="BW8" s="101"/>
      <c r="BX8" s="102"/>
      <c r="BY8" s="103" t="e">
        <f>($D$1-AJ8)*AX8</f>
        <v>#VALUE!</v>
      </c>
      <c r="BZ8" s="104">
        <f>IF(AM8&gt;0,"-",(AE8-BX8))</f>
        <v>42063</v>
      </c>
      <c r="CA8" s="105">
        <f>IF(AM8&gt;0,"-",(($D$1-BX8)*H8))</f>
        <v>3741204</v>
      </c>
      <c r="CB8" s="106"/>
      <c r="CC8" s="107"/>
      <c r="CD8" s="108"/>
      <c r="CE8" s="109"/>
      <c r="CF8" s="1320" t="s">
        <v>79</v>
      </c>
      <c r="CG8" s="659"/>
      <c r="CH8" s="1312"/>
      <c r="CI8" s="1312"/>
      <c r="CJ8" s="1312"/>
      <c r="CK8" s="1313">
        <f>IF($BP8&lt;=$B$1,$T8-$T8*CH8,$T8)</f>
        <v>0</v>
      </c>
      <c r="CL8" s="1302">
        <f>IF($BP8&lt;=$B$1,$S8-$S8*CJ8,$S8)</f>
        <v>0</v>
      </c>
      <c r="CM8" s="1321">
        <f>IF(CK8=0,$M8-$S8,($N8-CK8)*$M8/$N8)</f>
        <v>89</v>
      </c>
      <c r="CN8" s="1321">
        <f>IF(CK8=0,0,-(CL8-CK8*$M8/$N8))</f>
        <v>0</v>
      </c>
      <c r="CO8" s="1321">
        <f>CM8+CN8</f>
        <v>89</v>
      </c>
      <c r="CP8" s="1322">
        <v>2.071124717778661E-2</v>
      </c>
      <c r="CQ8" s="1322">
        <v>-3.6962262558804318E-3</v>
      </c>
      <c r="CR8" s="1322">
        <v>1.7015020921906175E-2</v>
      </c>
      <c r="CS8" s="1313">
        <f>IF($A8&lt;=$B$1,$N8-$N8*CP8,$N8)</f>
        <v>94.9910090237547</v>
      </c>
      <c r="CT8" s="1321">
        <f>IF($A8&lt;=$B$1,$M8-$M8*CR8,$M8)</f>
        <v>87.485663137950354</v>
      </c>
    </row>
    <row r="9" spans="1:99" ht="30" customHeight="1">
      <c r="A9" s="310"/>
      <c r="B9" s="60"/>
      <c r="C9" s="60"/>
      <c r="D9" s="62"/>
      <c r="E9" s="62"/>
      <c r="F9" s="63"/>
      <c r="G9" s="80"/>
      <c r="H9" s="80"/>
      <c r="I9" s="80"/>
      <c r="J9" s="65"/>
      <c r="K9" s="629"/>
      <c r="L9" s="252"/>
      <c r="M9" s="1336"/>
      <c r="N9" s="967"/>
      <c r="O9" s="1337"/>
      <c r="P9" s="967"/>
      <c r="Q9" s="968"/>
      <c r="R9" s="1336"/>
      <c r="S9" s="1336"/>
      <c r="T9" s="1336"/>
      <c r="U9" s="1336"/>
      <c r="V9" s="654"/>
      <c r="W9" s="654"/>
      <c r="X9" s="65"/>
      <c r="Y9" s="65"/>
      <c r="Z9" s="65"/>
      <c r="AA9" s="71"/>
      <c r="AB9" s="134"/>
      <c r="AC9" s="73"/>
      <c r="AD9" s="73"/>
      <c r="AE9" s="1717"/>
      <c r="AF9" s="667"/>
      <c r="AG9" s="1705"/>
      <c r="AH9" s="1323"/>
      <c r="AI9" s="1324"/>
      <c r="AJ9" s="1324"/>
      <c r="AK9" s="74"/>
      <c r="AL9" s="75"/>
      <c r="AM9" s="1325"/>
      <c r="AN9" s="1326"/>
      <c r="AO9" s="67"/>
      <c r="AP9" s="1327"/>
      <c r="AQ9" s="1328"/>
      <c r="AR9" s="1328"/>
      <c r="AS9" s="68"/>
      <c r="AT9" s="68"/>
      <c r="AU9" s="965"/>
      <c r="AV9" s="138"/>
      <c r="AW9" s="1329"/>
      <c r="AX9" s="84"/>
      <c r="AY9" s="64"/>
      <c r="AZ9" s="63"/>
      <c r="BA9" s="312"/>
      <c r="BB9" s="1317"/>
      <c r="BC9" s="1330"/>
      <c r="BD9" s="89"/>
      <c r="BE9" s="141"/>
      <c r="BF9" s="1331"/>
      <c r="BG9" s="143"/>
      <c r="BH9" s="145"/>
      <c r="BI9" s="143"/>
      <c r="BJ9" s="145"/>
      <c r="BK9" s="145"/>
      <c r="BL9" s="143"/>
      <c r="BM9" s="143"/>
      <c r="BN9" s="146"/>
      <c r="BO9" s="1332"/>
      <c r="BP9" s="1904"/>
      <c r="BQ9" s="1859"/>
      <c r="BR9" s="132"/>
      <c r="BS9" s="99"/>
      <c r="BT9" s="130"/>
      <c r="BU9" s="131"/>
      <c r="BV9" s="131"/>
      <c r="BW9" s="101"/>
      <c r="BX9" s="133"/>
      <c r="BY9" s="103"/>
      <c r="BZ9" s="104"/>
      <c r="CA9" s="105"/>
      <c r="CB9" s="106"/>
      <c r="CC9" s="107"/>
      <c r="CD9" s="108"/>
      <c r="CE9" s="109"/>
      <c r="CF9" s="1320"/>
      <c r="CG9" s="659"/>
      <c r="CH9" s="1312"/>
      <c r="CI9" s="1312"/>
      <c r="CJ9" s="1312"/>
      <c r="CK9" s="1313"/>
      <c r="CM9" s="1321"/>
      <c r="CN9" s="1321"/>
      <c r="CO9" s="1321"/>
      <c r="CP9" s="1322"/>
      <c r="CQ9" s="1322"/>
      <c r="CR9" s="1322"/>
      <c r="CS9" s="1313"/>
      <c r="CT9" s="1321"/>
    </row>
    <row r="10" spans="1:99" ht="30" customHeight="1" outlineLevel="1">
      <c r="A10" s="310"/>
      <c r="B10" s="1694"/>
      <c r="C10" s="1695"/>
      <c r="D10" s="62"/>
      <c r="E10" s="62"/>
      <c r="F10" s="1335"/>
      <c r="G10" s="80"/>
      <c r="H10" s="80"/>
      <c r="I10" s="80"/>
      <c r="J10" s="65"/>
      <c r="K10" s="629"/>
      <c r="L10" s="252"/>
      <c r="M10" s="1697"/>
      <c r="N10" s="1698"/>
      <c r="O10" s="1699"/>
      <c r="P10" s="967"/>
      <c r="Q10" s="967"/>
      <c r="R10" s="1700"/>
      <c r="S10" s="1700"/>
      <c r="T10" s="1700"/>
      <c r="U10" s="1700"/>
      <c r="V10" s="1701"/>
      <c r="W10" s="1702"/>
      <c r="X10" s="1696"/>
      <c r="Y10" s="1336"/>
      <c r="Z10" s="217"/>
      <c r="AA10" s="657"/>
      <c r="AB10" s="134"/>
      <c r="AC10" s="73"/>
      <c r="AD10" s="73"/>
      <c r="AE10" s="1717"/>
      <c r="AF10" s="1716"/>
      <c r="AG10" s="1706"/>
      <c r="AH10" s="1338"/>
      <c r="AI10" s="1339"/>
      <c r="AJ10" s="1339"/>
      <c r="AK10" s="663"/>
      <c r="AL10" s="664"/>
      <c r="AM10" s="1340"/>
      <c r="AN10" s="1341"/>
      <c r="AO10" s="968"/>
      <c r="AP10" s="1342"/>
      <c r="AQ10" s="1343"/>
      <c r="AR10" s="1343"/>
      <c r="AS10" s="966"/>
      <c r="AT10" s="966"/>
      <c r="AU10" s="1344"/>
      <c r="AV10" s="1345"/>
      <c r="AW10" s="1346"/>
      <c r="AX10" s="1335"/>
      <c r="AY10" s="1335"/>
      <c r="AZ10" s="1335"/>
      <c r="BA10" s="1347"/>
      <c r="BB10" s="1335"/>
      <c r="BC10" s="1348"/>
      <c r="BD10" s="1349"/>
      <c r="BE10" s="1350"/>
      <c r="BF10" s="1351"/>
      <c r="BG10" s="123"/>
      <c r="BH10" s="281"/>
      <c r="BI10" s="123"/>
      <c r="BJ10" s="281"/>
      <c r="BK10" s="281"/>
      <c r="BL10" s="123"/>
      <c r="BM10" s="123"/>
      <c r="BN10" s="280"/>
      <c r="BO10" s="1352"/>
      <c r="BP10" s="1904"/>
      <c r="BQ10" s="1859"/>
      <c r="BR10" s="132"/>
      <c r="BS10" s="99"/>
      <c r="BT10" s="130">
        <f>S10</f>
        <v>0</v>
      </c>
      <c r="BU10" s="131">
        <f>AG10</f>
        <v>0</v>
      </c>
      <c r="BV10" s="131"/>
      <c r="BW10" s="101"/>
      <c r="BX10" s="1353"/>
      <c r="BY10" s="103"/>
      <c r="BZ10" s="104"/>
      <c r="CA10" s="105"/>
      <c r="CB10" s="106"/>
      <c r="CC10" s="107"/>
      <c r="CD10" s="108"/>
      <c r="CE10" s="109"/>
      <c r="CF10" s="1320"/>
      <c r="CG10" s="657"/>
      <c r="CH10" s="1312"/>
      <c r="CI10" s="1312"/>
      <c r="CJ10" s="1312"/>
      <c r="CK10" s="1313">
        <f>IF($BP10&lt;=$B$1,T10-T10*CH10,T10)</f>
        <v>0</v>
      </c>
      <c r="CL10" s="1302">
        <f>IF($BP10&lt;=$B$1,S10-S10*CJ10,S10)</f>
        <v>0</v>
      </c>
      <c r="CM10" s="1321">
        <f>IF(CK10=0,M10-S10,($N10-$CK10)*$M10/$N10)</f>
        <v>0</v>
      </c>
      <c r="CN10" s="1321">
        <f>IF(CK10=0,0,-($CL10-$CK10*$M10/$N10))</f>
        <v>0</v>
      </c>
      <c r="CO10" s="1321">
        <f>CM10+CN10</f>
        <v>0</v>
      </c>
      <c r="CP10" s="1322">
        <v>1.0048E-2</v>
      </c>
      <c r="CQ10" s="1322">
        <v>4.44E-4</v>
      </c>
      <c r="CR10" s="1322">
        <v>1.0492E-2</v>
      </c>
      <c r="CS10" s="1313">
        <f>IF($A10&lt;=$B$1,N10-N10*CP10,N10)</f>
        <v>0</v>
      </c>
      <c r="CT10" s="1321">
        <f>IF($A10&lt;=$B$1,M10-M10*CR10,M10)</f>
        <v>0</v>
      </c>
    </row>
    <row r="11" spans="1:99" ht="30" customHeight="1" outlineLevel="1">
      <c r="A11" s="310"/>
      <c r="B11" s="1333"/>
      <c r="C11" s="1334"/>
      <c r="D11" s="62"/>
      <c r="E11" s="62"/>
      <c r="F11" s="1335"/>
      <c r="G11" s="80"/>
      <c r="H11" s="80"/>
      <c r="I11" s="80"/>
      <c r="J11" s="65"/>
      <c r="K11" s="629"/>
      <c r="L11" s="252"/>
      <c r="M11" s="1336"/>
      <c r="N11" s="967"/>
      <c r="O11" s="1337"/>
      <c r="P11" s="967"/>
      <c r="Q11" s="967"/>
      <c r="R11" s="1336"/>
      <c r="S11" s="1336"/>
      <c r="T11" s="1336"/>
      <c r="U11" s="217"/>
      <c r="V11" s="657"/>
      <c r="W11" s="657"/>
      <c r="X11" s="1336"/>
      <c r="Y11" s="1336"/>
      <c r="Z11" s="217"/>
      <c r="AA11" s="657"/>
      <c r="AB11" s="134" t="s">
        <v>110</v>
      </c>
      <c r="AC11" s="73"/>
      <c r="AD11" s="73"/>
      <c r="AE11" s="1717"/>
      <c r="AF11" s="667"/>
      <c r="AG11" s="1705"/>
      <c r="AH11" s="1338"/>
      <c r="AI11" s="1339"/>
      <c r="AJ11" s="1339"/>
      <c r="AK11" s="663"/>
      <c r="AL11" s="664"/>
      <c r="AM11" s="1340"/>
      <c r="AN11" s="1341"/>
      <c r="AO11" s="968"/>
      <c r="AP11" s="1342"/>
      <c r="AQ11" s="1343"/>
      <c r="AR11" s="1343"/>
      <c r="AS11" s="966"/>
      <c r="AT11" s="966"/>
      <c r="AU11" s="1344"/>
      <c r="AV11" s="1345"/>
      <c r="AW11" s="1346"/>
      <c r="AX11" s="1335"/>
      <c r="AY11" s="1335"/>
      <c r="AZ11" s="1335"/>
      <c r="BA11" s="1347"/>
      <c r="BB11" s="1335"/>
      <c r="BC11" s="1348"/>
      <c r="BD11" s="1349"/>
      <c r="BE11" s="1350"/>
      <c r="BF11" s="1351"/>
      <c r="BG11" s="123"/>
      <c r="BH11" s="281"/>
      <c r="BI11" s="123"/>
      <c r="BJ11" s="281"/>
      <c r="BK11" s="281"/>
      <c r="BL11" s="123"/>
      <c r="BM11" s="123"/>
      <c r="BN11" s="280"/>
      <c r="BO11" s="1352"/>
      <c r="BP11" s="1905"/>
      <c r="BQ11" s="1863"/>
      <c r="BR11" s="132"/>
      <c r="BS11" s="99"/>
      <c r="BT11" s="130"/>
      <c r="BU11" s="131"/>
      <c r="BV11" s="131"/>
      <c r="BW11" s="101"/>
      <c r="BX11" s="1353"/>
      <c r="BY11" s="103"/>
      <c r="BZ11" s="104"/>
      <c r="CA11" s="105"/>
      <c r="CB11" s="106"/>
      <c r="CC11" s="107"/>
      <c r="CD11" s="108"/>
      <c r="CE11" s="109"/>
      <c r="CF11" s="1320"/>
      <c r="CG11" s="657"/>
      <c r="CH11" s="1312"/>
      <c r="CI11" s="1312"/>
      <c r="CJ11" s="1312"/>
      <c r="CK11" s="1313">
        <f>IF($BP11&lt;=$B$1,T11-T11*CH11,T11)</f>
        <v>0</v>
      </c>
      <c r="CL11" s="1302">
        <f>IF($BP11&lt;=$B$1,S11-S11*CJ11,S11)</f>
        <v>0</v>
      </c>
      <c r="CM11" s="1321">
        <f>IF(CK11=0,M11-S11,($N11-$CK11)*$M11/$N11)</f>
        <v>0</v>
      </c>
      <c r="CN11" s="1321">
        <f>IF(CK11=0,0,-($CL11-$CK11*$M11/$N11))</f>
        <v>0</v>
      </c>
      <c r="CO11" s="1321">
        <f>CM11+CN11</f>
        <v>0</v>
      </c>
      <c r="CP11" s="1322">
        <v>2.7497164328050581E-2</v>
      </c>
      <c r="CQ11" s="1322">
        <v>-1.0037270225710675E-2</v>
      </c>
      <c r="CR11" s="1322">
        <v>1.7459894102339904E-2</v>
      </c>
      <c r="CS11" s="1313">
        <f>IF($A11&lt;=$B$1,N11-N11*CP11,N11)</f>
        <v>0</v>
      </c>
      <c r="CT11" s="1321">
        <f>IF($A11&lt;=$B$1,M11-M11*CR11,M11)</f>
        <v>0</v>
      </c>
    </row>
    <row r="12" spans="1:99" ht="30" customHeight="1">
      <c r="A12" s="148" t="s">
        <v>220</v>
      </c>
      <c r="B12" s="149">
        <f>COUNTIF(A8:A11,$B$1)</f>
        <v>1</v>
      </c>
      <c r="C12" s="150"/>
      <c r="D12" s="151"/>
      <c r="E12" s="151"/>
      <c r="F12" s="151"/>
      <c r="G12" s="152">
        <f>SUM(G8:G11)</f>
        <v>89</v>
      </c>
      <c r="H12" s="152">
        <f>SUMIF(A8:A11,$B$1,H8:H11)</f>
        <v>89</v>
      </c>
      <c r="I12" s="152">
        <f>SUM(I8:I11)</f>
        <v>89</v>
      </c>
      <c r="J12" s="152"/>
      <c r="K12" s="152"/>
      <c r="L12" s="153">
        <f ca="1">SUMIF(A8:A11,$B$1,L8:L11)</f>
        <v>89</v>
      </c>
      <c r="M12" s="153">
        <f>SUMIF(A8:A11,$B$1,M8:M11)</f>
        <v>89</v>
      </c>
      <c r="N12" s="152"/>
      <c r="O12" s="152"/>
      <c r="P12" s="152"/>
      <c r="Q12" s="152"/>
      <c r="R12" s="152"/>
      <c r="S12" s="152">
        <f>SUMIF(A8:A11,$B$1,S8:S11)</f>
        <v>0</v>
      </c>
      <c r="T12" s="152">
        <f>SUMIF(A8:A11,$B$1,T8:T11)</f>
        <v>0</v>
      </c>
      <c r="U12" s="151"/>
      <c r="V12" s="151"/>
      <c r="W12" s="151"/>
      <c r="X12" s="152"/>
      <c r="Y12" s="152"/>
      <c r="Z12" s="151"/>
      <c r="AA12" s="151"/>
      <c r="AB12" s="151"/>
      <c r="AC12" s="154"/>
      <c r="AD12" s="155"/>
      <c r="AE12" s="1718"/>
      <c r="AF12" s="158"/>
      <c r="AG12" s="1707"/>
      <c r="AH12" s="155"/>
      <c r="AI12" s="156"/>
      <c r="AJ12" s="156"/>
      <c r="AK12" s="152"/>
      <c r="AL12" s="157"/>
      <c r="AM12" s="158">
        <f>COUNTA(AM8:AM9)</f>
        <v>0</v>
      </c>
      <c r="AN12" s="152">
        <f>SUM(AN8:AN9)</f>
        <v>0</v>
      </c>
      <c r="AO12" s="152">
        <f>SUM(AO8:AO9)</f>
        <v>0</v>
      </c>
      <c r="AP12" s="159"/>
      <c r="AQ12" s="160"/>
      <c r="AR12" s="152"/>
      <c r="AS12" s="161"/>
      <c r="AT12" s="151"/>
      <c r="AU12" s="151"/>
      <c r="AV12" s="151"/>
      <c r="AW12" s="151"/>
      <c r="AX12" s="162">
        <f>SUM(AX8:AX9)</f>
        <v>0</v>
      </c>
      <c r="AY12" s="162">
        <f>SUM(AY8:AY9)</f>
        <v>0</v>
      </c>
      <c r="AZ12" s="163">
        <f>SUM(AZ8:AZ9)</f>
        <v>0</v>
      </c>
      <c r="BA12" s="221" t="str">
        <f>IF(COUNT(BA8:BA9)=0,"-",AVERAGE(BA8:BA9))</f>
        <v>-</v>
      </c>
      <c r="BB12" s="165"/>
      <c r="BC12" s="165"/>
      <c r="BD12" s="166"/>
      <c r="BE12" s="165"/>
      <c r="BF12" s="163"/>
      <c r="BG12" s="165"/>
      <c r="BH12" s="165"/>
      <c r="BI12" s="165"/>
      <c r="BJ12" s="165"/>
      <c r="BK12" s="165"/>
      <c r="BL12" s="165"/>
      <c r="BM12" s="165"/>
      <c r="BN12" s="167"/>
      <c r="BO12" s="162"/>
      <c r="BP12" s="1906"/>
      <c r="BQ12" s="1907"/>
      <c r="BR12" s="169"/>
      <c r="BS12" s="170"/>
      <c r="BT12" s="168"/>
      <c r="BU12" s="169"/>
      <c r="BV12" s="169"/>
      <c r="BW12" s="171"/>
      <c r="BX12" s="172"/>
      <c r="BY12" s="173">
        <f>AM12</f>
        <v>0</v>
      </c>
      <c r="BZ12" s="173">
        <f>COUNTIF(BZ8:BZ9,"=0")</f>
        <v>0</v>
      </c>
      <c r="CA12" s="174">
        <f>SUM(COUNTIF(BZ8:BZ9,"&lt;0"),COUNTIF(BZ8:BZ9,"&gt;0"))</f>
        <v>1</v>
      </c>
      <c r="CB12" s="175"/>
      <c r="CC12" s="176"/>
      <c r="CD12" s="176"/>
      <c r="CE12" s="177"/>
      <c r="CF12" s="731"/>
      <c r="CG12" s="657"/>
      <c r="CH12" s="1312"/>
      <c r="CI12" s="1312"/>
      <c r="CJ12" s="1312"/>
      <c r="CK12" s="1354">
        <f>SUMIF($BP8:$BP11,$B$1,CK8:CK11)</f>
        <v>0</v>
      </c>
      <c r="CL12" s="1355">
        <f>SUMIF($BP8:$BP11,$B$1,CL8:CL11)</f>
        <v>0</v>
      </c>
      <c r="CM12" s="1355">
        <f>SUMIF($A8:$A11,$B$1,CM8:CM11)</f>
        <v>89</v>
      </c>
      <c r="CN12" s="1355">
        <f>SUMIF($A8:$A11,$B$1,CN8:CN11)</f>
        <v>0</v>
      </c>
      <c r="CO12" s="1356">
        <f>SUMIF($A8:$A11,$B$1,CO8:CO11)</f>
        <v>89</v>
      </c>
      <c r="CP12" s="1322"/>
      <c r="CQ12" s="1322"/>
      <c r="CR12" s="1322"/>
      <c r="CS12" s="1354">
        <f>SUMIF($A8:$A11,$B$1,CS8:CS11)</f>
        <v>94.9910090237547</v>
      </c>
      <c r="CT12" s="1354">
        <f>SUMIF($A8:$A11,$B$1,CT8:CT11)</f>
        <v>87.485663137950354</v>
      </c>
    </row>
    <row r="13" spans="1:99" ht="30" customHeight="1">
      <c r="A13" s="179" t="s">
        <v>87</v>
      </c>
      <c r="B13" s="180">
        <f>COUNT(A8:A11)</f>
        <v>1</v>
      </c>
      <c r="C13" s="181"/>
      <c r="D13" s="182"/>
      <c r="E13" s="182"/>
      <c r="F13" s="182"/>
      <c r="G13" s="183"/>
      <c r="H13" s="184">
        <f>SUM(H8:H11)</f>
        <v>89</v>
      </c>
      <c r="I13" s="184"/>
      <c r="J13" s="184">
        <f>SUM(J8:J11)</f>
        <v>89</v>
      </c>
      <c r="K13" s="184"/>
      <c r="L13" s="184"/>
      <c r="M13" s="184"/>
      <c r="N13" s="184"/>
      <c r="O13" s="184"/>
      <c r="P13" s="184"/>
      <c r="Q13" s="184"/>
      <c r="R13" s="185"/>
      <c r="S13" s="183"/>
      <c r="T13" s="185"/>
      <c r="U13" s="182"/>
      <c r="V13" s="182"/>
      <c r="W13" s="182"/>
      <c r="X13" s="183"/>
      <c r="Y13" s="185"/>
      <c r="Z13" s="182"/>
      <c r="AA13" s="182"/>
      <c r="AB13" s="182"/>
      <c r="AC13" s="186"/>
      <c r="AD13" s="186"/>
      <c r="AE13" s="1719"/>
      <c r="AF13" s="184"/>
      <c r="AG13" s="1708"/>
      <c r="AH13" s="186"/>
      <c r="AI13" s="186"/>
      <c r="AJ13" s="186"/>
      <c r="AK13" s="184"/>
      <c r="AL13" s="184"/>
      <c r="AM13" s="184"/>
      <c r="AN13" s="184"/>
      <c r="AO13" s="184"/>
      <c r="AP13" s="182"/>
      <c r="AQ13" s="182"/>
      <c r="AR13" s="182"/>
      <c r="AS13" s="187"/>
      <c r="AT13" s="182"/>
      <c r="AU13" s="182"/>
      <c r="AV13" s="182"/>
      <c r="AW13" s="182"/>
      <c r="AX13" s="182"/>
      <c r="AY13" s="182"/>
      <c r="AZ13" s="182"/>
      <c r="BA13" s="182"/>
      <c r="BB13" s="188">
        <f>SUM(BB8:BB9)</f>
        <v>-89</v>
      </c>
      <c r="BC13" s="190"/>
      <c r="BD13" s="189"/>
      <c r="BE13" s="190"/>
      <c r="BF13" s="190"/>
      <c r="BG13" s="190"/>
      <c r="BH13" s="190"/>
      <c r="BI13" s="190"/>
      <c r="BJ13" s="190"/>
      <c r="BK13" s="190"/>
      <c r="BL13" s="190"/>
      <c r="BM13" s="190"/>
      <c r="BN13" s="188"/>
      <c r="BO13" s="184"/>
      <c r="BP13" s="1500"/>
      <c r="BQ13" s="1903"/>
      <c r="BR13" s="193"/>
      <c r="BS13" s="194"/>
      <c r="BT13" s="192"/>
      <c r="BU13" s="193"/>
      <c r="BV13" s="193"/>
      <c r="BW13" s="195"/>
      <c r="BX13" s="196"/>
      <c r="BY13" s="197" t="e">
        <f>SUM(BY8:BY9)</f>
        <v>#VALUE!</v>
      </c>
      <c r="BZ13" s="197">
        <f>SUMIF(BZ8:BZ9,"=0",CA8:CA9)</f>
        <v>0</v>
      </c>
      <c r="CA13" s="198">
        <f>SUMIF(BZ8:BZ9,"&lt;&gt;0",CA8:CA9)</f>
        <v>3741204</v>
      </c>
      <c r="CB13" s="199"/>
      <c r="CC13" s="200"/>
      <c r="CD13" s="200"/>
      <c r="CE13" s="201"/>
      <c r="CF13" s="744"/>
      <c r="CG13" s="602"/>
      <c r="CH13" s="1312"/>
      <c r="CI13" s="1312"/>
      <c r="CJ13" s="1312"/>
      <c r="CK13" s="1357"/>
      <c r="CL13" s="1358">
        <f>CL12-$S12</f>
        <v>0</v>
      </c>
      <c r="CM13" s="1357"/>
      <c r="CN13" s="1359"/>
      <c r="CO13" s="1357"/>
      <c r="CP13" s="1322"/>
      <c r="CQ13" s="1322"/>
      <c r="CR13" s="1322"/>
      <c r="CS13" s="1357"/>
      <c r="CT13" s="1358">
        <f>CT12-$M12</f>
        <v>-1.514336862049646</v>
      </c>
    </row>
    <row r="14" spans="1:99" ht="30" hidden="1" customHeight="1" outlineLevel="1">
      <c r="A14" s="2144" t="s">
        <v>88</v>
      </c>
      <c r="B14" s="2144"/>
      <c r="C14" s="2144"/>
      <c r="D14" s="2144"/>
      <c r="E14" s="2144"/>
      <c r="F14" s="21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1703"/>
      <c r="AF14" s="44"/>
      <c r="AG14" s="45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203"/>
      <c r="BA14" s="203"/>
      <c r="BB14" s="203"/>
      <c r="BC14" s="205"/>
      <c r="BN14" s="365"/>
      <c r="BO14" s="244"/>
      <c r="BP14" s="207"/>
      <c r="BQ14" s="209"/>
      <c r="BR14" s="208"/>
      <c r="BS14" s="209"/>
      <c r="BT14" s="207"/>
      <c r="BU14" s="208"/>
      <c r="BV14" s="209"/>
      <c r="BW14" s="52"/>
      <c r="BX14" s="53"/>
      <c r="BY14" s="53"/>
      <c r="BZ14" s="53"/>
      <c r="CA14" s="206"/>
      <c r="CB14" s="53"/>
      <c r="CC14" s="53"/>
      <c r="CD14" s="53"/>
      <c r="CE14" s="53"/>
      <c r="CF14" s="482"/>
      <c r="CG14" s="1360"/>
      <c r="CH14" s="1312"/>
      <c r="CI14" s="1312"/>
      <c r="CJ14" s="1312"/>
      <c r="CK14" s="1313"/>
      <c r="CL14" s="1315"/>
      <c r="CM14" s="1361"/>
      <c r="CN14" s="1361"/>
      <c r="CO14" s="1361"/>
      <c r="CP14" s="1322"/>
      <c r="CQ14" s="1322"/>
      <c r="CR14" s="1322"/>
      <c r="CS14" s="1313"/>
      <c r="CT14" s="1315"/>
      <c r="CU14" s="602"/>
    </row>
    <row r="15" spans="1:99" ht="30" hidden="1" customHeight="1" outlineLevel="1">
      <c r="A15" s="1362"/>
      <c r="B15" s="1363"/>
      <c r="C15" s="1363"/>
      <c r="D15" s="1363"/>
      <c r="E15" s="1363"/>
      <c r="F15" s="1364"/>
      <c r="G15" s="1364"/>
      <c r="H15" s="1365"/>
      <c r="I15" s="1366"/>
      <c r="J15" s="1367"/>
      <c r="K15" s="1365"/>
      <c r="L15" s="1365"/>
      <c r="M15" s="1365"/>
      <c r="N15" s="1365"/>
      <c r="O15" s="1365"/>
      <c r="P15" s="1365"/>
      <c r="Q15" s="1365"/>
      <c r="R15" s="1365"/>
      <c r="S15" s="1365"/>
      <c r="T15" s="1365"/>
      <c r="U15" s="1365"/>
      <c r="V15" s="1365"/>
      <c r="W15" s="1365"/>
      <c r="X15" s="1365"/>
      <c r="Y15" s="1365"/>
      <c r="Z15" s="1365"/>
      <c r="AA15" s="1365"/>
      <c r="AB15" s="1365"/>
      <c r="AC15" s="1368"/>
      <c r="AD15" s="1368"/>
      <c r="AE15" s="1721"/>
      <c r="AF15" s="1720"/>
      <c r="AG15" s="1369"/>
      <c r="AH15" s="1370"/>
      <c r="AI15" s="1368"/>
      <c r="AJ15" s="1368"/>
      <c r="AK15" s="1365"/>
      <c r="AL15" s="1365"/>
      <c r="AM15" s="1371"/>
      <c r="AN15" s="1371"/>
      <c r="AO15" s="1371"/>
      <c r="AP15" s="1371"/>
      <c r="AQ15" s="1372"/>
      <c r="AR15" s="1372"/>
      <c r="AS15" s="1372"/>
      <c r="AT15" s="1372"/>
      <c r="AU15" s="1372"/>
      <c r="AV15" s="1372"/>
      <c r="AW15" s="1373"/>
      <c r="AX15" s="311"/>
      <c r="AY15" s="63"/>
      <c r="AZ15" s="63"/>
      <c r="BA15" s="312"/>
      <c r="BB15" s="139"/>
      <c r="BC15" s="1374"/>
      <c r="BD15" s="1375"/>
      <c r="BE15" s="1376"/>
      <c r="BF15" s="1376"/>
      <c r="BG15" s="1376"/>
      <c r="BH15" s="1376"/>
      <c r="BI15" s="1376"/>
      <c r="BJ15" s="1376"/>
      <c r="BK15" s="1376"/>
      <c r="BL15" s="1376"/>
      <c r="BM15" s="1376"/>
      <c r="BN15"/>
      <c r="BO15"/>
      <c r="BP15" s="130">
        <f>AC15</f>
        <v>0</v>
      </c>
      <c r="BQ15" s="99"/>
      <c r="BR15" s="131"/>
      <c r="BS15" s="99"/>
      <c r="BT15" s="130">
        <f>S15</f>
        <v>0</v>
      </c>
      <c r="BU15" s="131">
        <f>AG15</f>
        <v>0</v>
      </c>
      <c r="BV15" s="131"/>
      <c r="BW15" s="101"/>
      <c r="BX15" s="102"/>
      <c r="BY15" s="103"/>
      <c r="BZ15" s="104"/>
      <c r="CA15" s="105"/>
      <c r="CB15" s="216"/>
      <c r="CC15" s="53"/>
      <c r="CD15" s="53"/>
      <c r="CE15" s="53"/>
      <c r="CF15" s="1377"/>
      <c r="CG15" s="1360"/>
      <c r="CH15" s="1312"/>
      <c r="CI15" s="1312"/>
      <c r="CJ15" s="1312"/>
      <c r="CK15" s="1313"/>
      <c r="CL15" s="1315"/>
      <c r="CM15" s="1361"/>
      <c r="CN15" s="1361"/>
      <c r="CO15" s="1361"/>
      <c r="CP15" s="1322"/>
      <c r="CQ15" s="1322"/>
      <c r="CR15" s="1322"/>
      <c r="CS15" s="1313"/>
      <c r="CT15" s="1315"/>
      <c r="CU15" s="602"/>
    </row>
    <row r="16" spans="1:99" ht="30" hidden="1" customHeight="1" outlineLevel="1">
      <c r="A16" s="1362"/>
      <c r="B16" s="1363"/>
      <c r="C16" s="1363"/>
      <c r="D16" s="1363"/>
      <c r="E16" s="1363"/>
      <c r="F16" s="1364"/>
      <c r="G16" s="1364"/>
      <c r="H16" s="1365"/>
      <c r="I16" s="1366"/>
      <c r="J16" s="1367"/>
      <c r="K16" s="1365"/>
      <c r="L16" s="1365"/>
      <c r="M16" s="1365"/>
      <c r="N16" s="1365"/>
      <c r="O16" s="1365"/>
      <c r="P16" s="1365"/>
      <c r="Q16" s="1365"/>
      <c r="R16" s="1365"/>
      <c r="S16" s="1365"/>
      <c r="T16" s="1365"/>
      <c r="U16" s="1365"/>
      <c r="V16" s="1365"/>
      <c r="W16" s="1365"/>
      <c r="X16" s="1365"/>
      <c r="Y16" s="1365"/>
      <c r="Z16" s="1365"/>
      <c r="AA16" s="1365"/>
      <c r="AB16" s="1365"/>
      <c r="AC16" s="1368"/>
      <c r="AD16" s="1368"/>
      <c r="AE16" s="1721"/>
      <c r="AF16" s="1720"/>
      <c r="AG16" s="1369"/>
      <c r="AH16" s="1370"/>
      <c r="AI16" s="1368"/>
      <c r="AJ16" s="1368"/>
      <c r="AK16" s="1365"/>
      <c r="AL16" s="1365"/>
      <c r="AM16" s="1371"/>
      <c r="AN16" s="1371"/>
      <c r="AO16" s="1371"/>
      <c r="AP16" s="1371"/>
      <c r="AQ16" s="1372"/>
      <c r="AR16" s="1372"/>
      <c r="AS16" s="1372"/>
      <c r="AT16" s="1372"/>
      <c r="AU16" s="1372"/>
      <c r="AV16" s="1372"/>
      <c r="AW16" s="1373"/>
      <c r="AX16" s="311"/>
      <c r="AY16" s="63"/>
      <c r="AZ16" s="63"/>
      <c r="BA16" s="312"/>
      <c r="BB16" s="139"/>
      <c r="BC16" s="1374"/>
      <c r="BD16" s="1375"/>
      <c r="BE16" s="1376"/>
      <c r="BF16" s="1376"/>
      <c r="BG16" s="1376"/>
      <c r="BH16" s="1376"/>
      <c r="BI16" s="1376"/>
      <c r="BJ16" s="1376"/>
      <c r="BK16" s="1376"/>
      <c r="BL16" s="1376"/>
      <c r="BM16" s="1376"/>
      <c r="BN16"/>
      <c r="BO16"/>
      <c r="BP16" s="130">
        <f>AC16</f>
        <v>0</v>
      </c>
      <c r="BQ16" s="99"/>
      <c r="BR16" s="131"/>
      <c r="BS16" s="99"/>
      <c r="BT16" s="130">
        <f>S16</f>
        <v>0</v>
      </c>
      <c r="BU16" s="131">
        <f>AG16</f>
        <v>0</v>
      </c>
      <c r="BV16" s="131"/>
      <c r="BW16" s="101"/>
      <c r="BX16" s="102"/>
      <c r="BY16" s="103"/>
      <c r="BZ16" s="104"/>
      <c r="CA16" s="105"/>
      <c r="CB16" s="216"/>
      <c r="CC16" s="53"/>
      <c r="CD16" s="53"/>
      <c r="CE16" s="53"/>
      <c r="CF16" s="1377"/>
      <c r="CG16" s="1360"/>
      <c r="CH16" s="1312"/>
      <c r="CI16" s="1312"/>
      <c r="CJ16" s="1312"/>
      <c r="CK16" s="1313"/>
      <c r="CL16" s="1315"/>
      <c r="CM16" s="1361"/>
      <c r="CN16" s="1361"/>
      <c r="CO16" s="1361"/>
      <c r="CP16" s="1322"/>
      <c r="CQ16" s="1322"/>
      <c r="CR16" s="1322"/>
      <c r="CS16" s="1313"/>
      <c r="CT16" s="1315"/>
      <c r="CU16" s="602"/>
    </row>
    <row r="17" spans="1:99" ht="30" hidden="1" customHeight="1" outlineLevel="1">
      <c r="A17" s="148" t="s">
        <v>86</v>
      </c>
      <c r="B17" s="149">
        <f>COUNTIF(A15:A16,$B$1)</f>
        <v>0</v>
      </c>
      <c r="C17" s="150"/>
      <c r="D17" s="151"/>
      <c r="E17" s="151"/>
      <c r="F17" s="151"/>
      <c r="G17" s="152"/>
      <c r="H17" s="160"/>
      <c r="I17" s="152"/>
      <c r="J17" s="152"/>
      <c r="K17" s="152"/>
      <c r="L17" s="153">
        <f>SUMIF(A15:A16,$B$1,L15:L16)</f>
        <v>0</v>
      </c>
      <c r="M17" s="153">
        <f>SUMIF(A15:A16,$B$1,M15:M16)</f>
        <v>0</v>
      </c>
      <c r="N17" s="152"/>
      <c r="O17" s="152"/>
      <c r="P17" s="152"/>
      <c r="Q17" s="152"/>
      <c r="R17" s="152"/>
      <c r="S17" s="152"/>
      <c r="T17" s="152"/>
      <c r="U17" s="151"/>
      <c r="V17" s="151"/>
      <c r="W17" s="151"/>
      <c r="X17" s="152"/>
      <c r="Y17" s="152"/>
      <c r="Z17" s="151"/>
      <c r="AA17" s="151"/>
      <c r="AB17" s="151"/>
      <c r="AC17" s="1681"/>
      <c r="AD17" s="155"/>
      <c r="AE17" s="1718"/>
      <c r="AF17" s="158"/>
      <c r="AG17" s="157"/>
      <c r="AH17" s="730"/>
      <c r="AI17" s="156"/>
      <c r="AJ17" s="156"/>
      <c r="AK17" s="152"/>
      <c r="AL17" s="152"/>
      <c r="AM17" s="152">
        <f>COUNTA(AM15:AM16)</f>
        <v>0</v>
      </c>
      <c r="AN17" s="152">
        <f>SUM(AN15:AN16)</f>
        <v>0</v>
      </c>
      <c r="AO17" s="152">
        <f>SUM(AO15:AO16)</f>
        <v>0</v>
      </c>
      <c r="AP17" s="159"/>
      <c r="AQ17" s="160"/>
      <c r="AR17" s="152"/>
      <c r="AS17" s="220"/>
      <c r="AT17" s="151"/>
      <c r="AU17" s="151"/>
      <c r="AV17" s="151"/>
      <c r="AW17" s="151"/>
      <c r="AX17" s="162">
        <f>SUM(AX15:AX16)</f>
        <v>0</v>
      </c>
      <c r="AY17" s="162">
        <f>SUM(AY15:AY16)</f>
        <v>0</v>
      </c>
      <c r="AZ17" s="165">
        <f>SUM(AZ15:AZ16)</f>
        <v>0</v>
      </c>
      <c r="BA17" s="221" t="str">
        <f>IF(COUNT(BA15:BA16)=0,"-",AVERAGE(BA15:BA16))</f>
        <v>-</v>
      </c>
      <c r="BB17" s="165"/>
      <c r="BC17" s="223"/>
      <c r="BD17" s="222"/>
      <c r="BE17" s="223"/>
      <c r="BF17" s="223"/>
      <c r="BG17" s="223"/>
      <c r="BH17" s="223"/>
      <c r="BI17" s="223"/>
      <c r="BJ17" s="223"/>
      <c r="BK17" s="223"/>
      <c r="BL17" s="223"/>
      <c r="BM17" s="223"/>
      <c r="BN17" s="163">
        <f>SUM(BN8:BN16)</f>
        <v>0</v>
      </c>
      <c r="BO17" s="163">
        <f>SUM(BO8:BO16)</f>
        <v>0</v>
      </c>
      <c r="BP17" s="168"/>
      <c r="BQ17" s="170"/>
      <c r="BR17" s="169"/>
      <c r="BS17" s="170"/>
      <c r="BT17" s="168"/>
      <c r="BU17" s="169"/>
      <c r="BV17" s="169"/>
      <c r="BW17" s="224"/>
      <c r="BX17" s="172"/>
      <c r="BY17" s="173">
        <f>AM17</f>
        <v>0</v>
      </c>
      <c r="BZ17" s="173">
        <f>COUNTIF(BZ15:BZ16,"=0")</f>
        <v>0</v>
      </c>
      <c r="CA17" s="174">
        <f>SUM(COUNTIF(BZ15:BZ16,"&lt;0"),COUNTIF(BZ15:BZ16,"&gt;0"))</f>
        <v>0</v>
      </c>
      <c r="CB17" s="225">
        <f>COUNTIF(CB8:CB9,"1")</f>
        <v>0</v>
      </c>
      <c r="CC17" s="226">
        <f>SUM(CC8:CC9)</f>
        <v>0</v>
      </c>
      <c r="CD17" s="227">
        <f>COUNTIF(CD8:CD16,"1")</f>
        <v>0</v>
      </c>
      <c r="CE17" s="228">
        <f>SUM(CE8:CE16)</f>
        <v>0</v>
      </c>
      <c r="CF17" s="731"/>
      <c r="CG17" s="657"/>
      <c r="CH17" s="1312"/>
      <c r="CI17" s="1312"/>
      <c r="CJ17" s="1312"/>
      <c r="CK17" s="1378"/>
      <c r="CL17" s="1378"/>
      <c r="CM17" s="1378"/>
      <c r="CN17" s="1378"/>
      <c r="CO17" s="1378"/>
      <c r="CP17" s="1322"/>
      <c r="CQ17" s="1322"/>
      <c r="CR17" s="1322"/>
      <c r="CS17" s="1378"/>
      <c r="CT17" s="1378"/>
      <c r="CU17" s="602"/>
    </row>
    <row r="18" spans="1:99" ht="30" hidden="1" customHeight="1" outlineLevel="1">
      <c r="A18" s="179" t="s">
        <v>89</v>
      </c>
      <c r="B18" s="180">
        <f>COUNTA(A15:A16)</f>
        <v>0</v>
      </c>
      <c r="C18" s="181"/>
      <c r="D18" s="182"/>
      <c r="E18" s="182"/>
      <c r="F18" s="182"/>
      <c r="G18" s="183"/>
      <c r="H18" s="187">
        <f>SUM(H17,H13)</f>
        <v>89</v>
      </c>
      <c r="I18" s="187">
        <f>SUM(I17,I13)</f>
        <v>0</v>
      </c>
      <c r="J18" s="184">
        <f>SUM(J17,J13)</f>
        <v>89</v>
      </c>
      <c r="K18" s="184"/>
      <c r="L18" s="184"/>
      <c r="M18" s="184"/>
      <c r="N18" s="184"/>
      <c r="O18" s="184"/>
      <c r="P18" s="184"/>
      <c r="Q18" s="184"/>
      <c r="R18" s="185"/>
      <c r="S18" s="183"/>
      <c r="T18" s="185"/>
      <c r="U18" s="182"/>
      <c r="V18" s="182"/>
      <c r="W18" s="182"/>
      <c r="X18" s="183"/>
      <c r="Y18" s="185"/>
      <c r="Z18" s="182"/>
      <c r="AA18" s="182"/>
      <c r="AB18" s="182"/>
      <c r="AC18" s="186"/>
      <c r="AD18" s="186"/>
      <c r="AE18" s="1719"/>
      <c r="AF18" s="184"/>
      <c r="AG18" s="191"/>
      <c r="AH18" s="186"/>
      <c r="AI18" s="186"/>
      <c r="AJ18" s="186"/>
      <c r="AK18" s="184"/>
      <c r="AL18" s="184"/>
      <c r="AM18" s="184">
        <f>SUM(AM12,AM17)</f>
        <v>0</v>
      </c>
      <c r="AN18" s="184">
        <f>SUM(AN12,AN17)</f>
        <v>0</v>
      </c>
      <c r="AO18" s="184"/>
      <c r="AP18" s="182"/>
      <c r="AQ18" s="182"/>
      <c r="AR18" s="182"/>
      <c r="AS18" s="187"/>
      <c r="AT18" s="182"/>
      <c r="AU18" s="182"/>
      <c r="AV18" s="182"/>
      <c r="AW18" s="182"/>
      <c r="AX18" s="184">
        <f>SUM(AX17,AX12)</f>
        <v>0</v>
      </c>
      <c r="AY18" s="184">
        <f>SUM(AY17,AY12)</f>
        <v>0</v>
      </c>
      <c r="AZ18" s="182">
        <f>SUM(AZ17,AZ12)</f>
        <v>0</v>
      </c>
      <c r="BA18" s="229" t="str">
        <f>IF(COUNT(BA15:BA16,BA8:BA9)=0,"-",AVERAGE(BA15:BA16,BA8:BA9))</f>
        <v>-</v>
      </c>
      <c r="BB18" s="191">
        <f>+BB13</f>
        <v>-89</v>
      </c>
      <c r="BC18" s="190"/>
      <c r="BD18" s="189"/>
      <c r="BE18" s="190"/>
      <c r="BF18" s="190"/>
      <c r="BG18" s="190"/>
      <c r="BH18" s="190"/>
      <c r="BI18" s="190"/>
      <c r="BJ18" s="190"/>
      <c r="BK18" s="190"/>
      <c r="BL18" s="190"/>
      <c r="BM18" s="190"/>
      <c r="BN18" s="230"/>
      <c r="BO18" s="230"/>
      <c r="BP18" s="231"/>
      <c r="BQ18" s="233"/>
      <c r="BR18" s="232"/>
      <c r="BS18" s="233"/>
      <c r="BT18" s="231"/>
      <c r="BU18" s="232"/>
      <c r="BV18" s="232"/>
      <c r="BW18" s="234"/>
      <c r="BX18" s="235"/>
      <c r="BY18" s="197">
        <f>SUM(BY15:BY16)</f>
        <v>0</v>
      </c>
      <c r="BZ18" s="197">
        <f>SUMIF(BZ15:BZ16,"=0",CA15:CA16)</f>
        <v>0</v>
      </c>
      <c r="CA18" s="198">
        <f>SUMIF(BZ15:BZ16,"&lt;&gt;0",CA15:CA16)</f>
        <v>0</v>
      </c>
      <c r="CB18" s="236"/>
      <c r="CC18" s="230"/>
      <c r="CD18" s="230"/>
      <c r="CE18" s="237"/>
      <c r="CF18" s="744"/>
      <c r="CG18" s="657"/>
      <c r="CH18" s="1312"/>
      <c r="CI18" s="1312"/>
      <c r="CJ18" s="1312"/>
      <c r="CK18" s="1379"/>
      <c r="CL18" s="1378"/>
      <c r="CM18" s="1379"/>
      <c r="CN18" s="1335"/>
      <c r="CO18" s="1379"/>
      <c r="CP18" s="1322"/>
      <c r="CQ18" s="1322"/>
      <c r="CR18" s="1322"/>
      <c r="CS18" s="1379"/>
      <c r="CT18" s="1378"/>
      <c r="CU18" s="602"/>
    </row>
    <row r="19" spans="1:99" ht="30" hidden="1" customHeight="1" outlineLevel="1" collapsed="1">
      <c r="A19" s="2144" t="s">
        <v>259</v>
      </c>
      <c r="B19" s="2144"/>
      <c r="C19" s="2144"/>
      <c r="D19" s="2144"/>
      <c r="E19" s="2144"/>
      <c r="F19" s="2144"/>
      <c r="G19" s="239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39"/>
      <c r="U19" s="239"/>
      <c r="V19" s="239"/>
      <c r="W19" s="239"/>
      <c r="X19" s="239"/>
      <c r="Y19" s="239"/>
      <c r="Z19" s="239"/>
      <c r="AA19" s="239"/>
      <c r="AB19" s="239"/>
      <c r="AC19" s="239"/>
      <c r="AD19" s="239"/>
      <c r="AE19" s="1722"/>
      <c r="AF19" s="239"/>
      <c r="AG19" s="240"/>
      <c r="AH19" s="239"/>
      <c r="AI19" s="239"/>
      <c r="AJ19" s="239"/>
      <c r="AK19" s="239"/>
      <c r="AL19" s="239"/>
      <c r="AM19" s="239"/>
      <c r="AN19" s="239"/>
      <c r="AO19" s="239"/>
      <c r="AP19" s="239"/>
      <c r="AQ19" s="239"/>
      <c r="AR19" s="239"/>
      <c r="AS19" s="239"/>
      <c r="AT19" s="239"/>
      <c r="AU19" s="239"/>
      <c r="AV19" s="239"/>
      <c r="AW19" s="239"/>
      <c r="AX19" s="239"/>
      <c r="AY19" s="239"/>
      <c r="AZ19" s="239"/>
      <c r="BA19" s="239"/>
      <c r="BB19" s="239"/>
      <c r="BC19" s="240"/>
      <c r="BD19" s="241"/>
      <c r="BE19" s="242"/>
      <c r="BF19" s="242"/>
      <c r="BG19" s="242"/>
      <c r="BH19" s="242"/>
      <c r="BI19" s="242"/>
      <c r="BJ19" s="242"/>
      <c r="BK19" s="242"/>
      <c r="BL19" s="242"/>
      <c r="BM19" s="242"/>
      <c r="BN19" s="243"/>
      <c r="BO19" s="365"/>
      <c r="BP19" s="1380"/>
      <c r="BQ19" s="99"/>
      <c r="BR19" s="131"/>
      <c r="BS19" s="99"/>
      <c r="BT19" s="130"/>
      <c r="BU19" s="131"/>
      <c r="BV19" s="131"/>
      <c r="BW19" s="52"/>
      <c r="BX19" s="53"/>
      <c r="BY19" s="53"/>
      <c r="BZ19" s="53"/>
      <c r="CA19" s="206"/>
      <c r="CB19" s="245"/>
      <c r="CC19" s="53"/>
      <c r="CD19" s="53"/>
      <c r="CE19" s="53"/>
      <c r="CF19" s="52"/>
      <c r="CG19" s="602"/>
      <c r="CH19" s="1312"/>
      <c r="CI19" s="1312"/>
      <c r="CJ19" s="1312"/>
      <c r="CK19" s="1313"/>
      <c r="CL19" s="1315"/>
      <c r="CM19" s="1361"/>
      <c r="CN19" s="1361"/>
      <c r="CO19" s="1361"/>
      <c r="CP19" s="1322"/>
      <c r="CQ19" s="1322"/>
      <c r="CR19" s="1322"/>
      <c r="CS19" s="1313"/>
      <c r="CT19" s="1315"/>
      <c r="CU19" s="602"/>
    </row>
    <row r="20" spans="1:99" ht="30" hidden="1" customHeight="1" outlineLevel="1">
      <c r="A20" s="310"/>
      <c r="B20" s="247"/>
      <c r="C20" s="247"/>
      <c r="D20" s="248"/>
      <c r="E20" s="62"/>
      <c r="F20" s="247"/>
      <c r="G20" s="80"/>
      <c r="H20" s="80"/>
      <c r="I20" s="80"/>
      <c r="J20" s="65"/>
      <c r="K20" s="629"/>
      <c r="L20" s="252"/>
      <c r="M20" s="68"/>
      <c r="N20" s="68"/>
      <c r="O20" s="287"/>
      <c r="P20" s="70"/>
      <c r="Q20" s="70"/>
      <c r="R20" s="66"/>
      <c r="S20" s="64"/>
      <c r="T20" s="70"/>
      <c r="U20" s="372"/>
      <c r="V20" s="70"/>
      <c r="W20" s="70"/>
      <c r="X20" s="64"/>
      <c r="Y20" s="70"/>
      <c r="Z20" s="70"/>
      <c r="AA20" s="70"/>
      <c r="AB20" s="134" t="s">
        <v>260</v>
      </c>
      <c r="AC20" s="135"/>
      <c r="AD20" s="135"/>
      <c r="AE20" s="1717">
        <f>AD20</f>
        <v>0</v>
      </c>
      <c r="AF20" s="78"/>
      <c r="AG20" s="74"/>
      <c r="AH20" s="276"/>
      <c r="AI20" s="254"/>
      <c r="AJ20" s="255"/>
      <c r="AK20" s="74"/>
      <c r="AL20" s="75"/>
      <c r="AM20" s="78"/>
      <c r="AN20" s="289"/>
      <c r="AO20" s="256"/>
      <c r="AP20" s="74"/>
      <c r="AQ20" s="112"/>
      <c r="AR20" s="247"/>
      <c r="AS20" s="247"/>
      <c r="AT20" s="247"/>
      <c r="AU20" s="317"/>
      <c r="AV20" s="387"/>
      <c r="AW20" s="448"/>
      <c r="AX20" s="311"/>
      <c r="AY20" s="63"/>
      <c r="AZ20" s="63"/>
      <c r="BA20" s="312"/>
      <c r="BB20" s="1317"/>
      <c r="BC20" s="1381"/>
      <c r="BD20" s="260"/>
      <c r="BE20" s="261"/>
      <c r="BF20" s="146"/>
      <c r="BG20" s="143"/>
      <c r="BH20" s="143"/>
      <c r="BI20" s="143"/>
      <c r="BJ20" s="143"/>
      <c r="BK20" s="143"/>
      <c r="BL20" s="145"/>
      <c r="BM20" s="262"/>
      <c r="BN20" s="263"/>
      <c r="BO20" s="931"/>
      <c r="BP20" s="1382">
        <f>AC20</f>
        <v>0</v>
      </c>
      <c r="BQ20" s="209"/>
      <c r="BR20" s="265"/>
      <c r="BS20" s="209"/>
      <c r="BT20" s="284">
        <f>S20</f>
        <v>0</v>
      </c>
      <c r="BU20" s="214">
        <f>AG20</f>
        <v>0</v>
      </c>
      <c r="BV20" s="214" t="str">
        <f>IF(AE20&gt;$CC$7,S20,IF(AE20="перех",(S20),"-"))</f>
        <v>-</v>
      </c>
      <c r="BW20" s="101"/>
      <c r="BX20" s="102"/>
      <c r="BY20" s="103"/>
      <c r="BZ20" s="104"/>
      <c r="CA20" s="105"/>
      <c r="CB20" s="216"/>
      <c r="CC20" s="268"/>
      <c r="CD20" s="216"/>
      <c r="CE20" s="268"/>
      <c r="CF20" s="1383"/>
      <c r="CG20" s="659"/>
      <c r="CH20" s="1384"/>
      <c r="CI20" s="1384"/>
      <c r="CJ20" s="1384"/>
      <c r="CK20" s="1313">
        <f>IF($BP20&lt;=$B$1,T20-T20*CH20,T20)</f>
        <v>0</v>
      </c>
      <c r="CL20" s="1302">
        <f>IF($BP20&lt;=$B$1,S20-S20*CJ20,S20)</f>
        <v>0</v>
      </c>
      <c r="CM20" s="1321">
        <f>IF(CK20=0,M20-S20,($N20-$CK20)*$M20/$N20)</f>
        <v>0</v>
      </c>
      <c r="CN20" s="1321">
        <f>IF(CK20=0,0,-($CL20-$CK20*$M20/$N20))</f>
        <v>0</v>
      </c>
      <c r="CO20" s="1321">
        <f>CM20+CN20</f>
        <v>0</v>
      </c>
      <c r="CP20" s="1322">
        <v>8.0000000000000002E-3</v>
      </c>
      <c r="CQ20" s="1322">
        <v>1.7999999999999999E-2</v>
      </c>
      <c r="CR20" s="1322">
        <v>2.5999999999999999E-2</v>
      </c>
      <c r="CS20" s="1313">
        <f>IF($A20&lt;=$B$1,N20-N20*CP20,N20)</f>
        <v>0</v>
      </c>
      <c r="CT20" s="1302">
        <f>IF($A20&lt;=$B$1,M20-M20*CR20,M20)</f>
        <v>0</v>
      </c>
      <c r="CU20" s="602"/>
    </row>
    <row r="21" spans="1:99" ht="30" hidden="1" customHeight="1" outlineLevel="1">
      <c r="A21" s="310"/>
      <c r="B21" s="247"/>
      <c r="C21" s="247"/>
      <c r="D21" s="248"/>
      <c r="E21" s="62"/>
      <c r="F21" s="247"/>
      <c r="G21" s="65"/>
      <c r="H21" s="80"/>
      <c r="I21" s="65"/>
      <c r="J21" s="65"/>
      <c r="K21" s="66"/>
      <c r="L21" s="252"/>
      <c r="M21" s="68"/>
      <c r="N21" s="68"/>
      <c r="O21" s="287"/>
      <c r="P21" s="70"/>
      <c r="Q21" s="70"/>
      <c r="R21" s="249"/>
      <c r="S21" s="64"/>
      <c r="T21" s="70"/>
      <c r="U21" s="250"/>
      <c r="V21" s="70"/>
      <c r="W21" s="70"/>
      <c r="X21" s="250"/>
      <c r="Y21" s="70"/>
      <c r="Z21" s="70"/>
      <c r="AA21" s="70"/>
      <c r="AB21" s="134"/>
      <c r="AC21" s="135"/>
      <c r="AD21" s="135"/>
      <c r="AE21" s="1717"/>
      <c r="AF21" s="78"/>
      <c r="AG21" s="74"/>
      <c r="AH21" s="276"/>
      <c r="AI21" s="254"/>
      <c r="AJ21" s="255"/>
      <c r="AK21" s="74"/>
      <c r="AL21" s="75"/>
      <c r="AM21" s="78"/>
      <c r="AN21" s="289"/>
      <c r="AO21" s="256"/>
      <c r="AP21" s="74"/>
      <c r="AQ21" s="112"/>
      <c r="AR21" s="247"/>
      <c r="AS21" s="247"/>
      <c r="AT21" s="247"/>
      <c r="AU21" s="317"/>
      <c r="AV21" s="387"/>
      <c r="AW21" s="448"/>
      <c r="AX21" s="311"/>
      <c r="AY21" s="63"/>
      <c r="AZ21" s="63"/>
      <c r="BA21" s="312"/>
      <c r="BB21" s="1317"/>
      <c r="BC21" s="1381"/>
      <c r="BD21" s="260"/>
      <c r="BE21" s="261"/>
      <c r="BF21" s="146"/>
      <c r="BG21" s="143"/>
      <c r="BH21" s="143"/>
      <c r="BI21" s="143"/>
      <c r="BJ21" s="143"/>
      <c r="BK21" s="143"/>
      <c r="BL21" s="145"/>
      <c r="BM21" s="262"/>
      <c r="BN21" s="263"/>
      <c r="BO21" s="931"/>
      <c r="BP21" s="1382">
        <f>AC21</f>
        <v>0</v>
      </c>
      <c r="BQ21" s="209"/>
      <c r="BR21" s="265"/>
      <c r="BS21" s="209"/>
      <c r="BT21" s="284">
        <f>S21</f>
        <v>0</v>
      </c>
      <c r="BU21" s="214">
        <f>AG21</f>
        <v>0</v>
      </c>
      <c r="BV21" s="214"/>
      <c r="BW21" s="101"/>
      <c r="BX21" s="102"/>
      <c r="BY21" s="103"/>
      <c r="BZ21" s="104"/>
      <c r="CA21" s="105"/>
      <c r="CB21" s="216"/>
      <c r="CC21" s="268"/>
      <c r="CD21" s="216"/>
      <c r="CE21" s="268"/>
      <c r="CF21" s="1383"/>
      <c r="CG21" s="659"/>
      <c r="CH21" s="1312"/>
      <c r="CI21" s="1312"/>
      <c r="CJ21" s="1312"/>
      <c r="CK21" s="1313">
        <f>IF($BP21&lt;=$B$1,T21-T21*CH21,T21)</f>
        <v>0</v>
      </c>
      <c r="CL21" s="1302">
        <f>IF($BP21&lt;=$B$1,S21-S21*CJ21,S21)</f>
        <v>0</v>
      </c>
      <c r="CM21" s="1321">
        <f>IF(CK21=0,M21-S21,($N21-$CK21)*$M21/$N21)</f>
        <v>0</v>
      </c>
      <c r="CN21" s="1321">
        <f>IF(CK21=0,0,-($CL21-$CK21*$M21/$N21))</f>
        <v>0</v>
      </c>
      <c r="CO21" s="1321">
        <f>CM21+CN21</f>
        <v>0</v>
      </c>
      <c r="CP21" s="1322">
        <v>8.0000000000000002E-3</v>
      </c>
      <c r="CQ21" s="1322">
        <v>1.7999999999999999E-2</v>
      </c>
      <c r="CR21" s="1322">
        <v>2.5999999999999999E-2</v>
      </c>
      <c r="CS21" s="1313">
        <f>IF($A21&lt;=$B$1,N21-N21*CP21,N21)</f>
        <v>0</v>
      </c>
      <c r="CT21" s="1302">
        <f>IF($A21&lt;=$B$1,M21-M21*CR21,M21)</f>
        <v>0</v>
      </c>
      <c r="CU21" s="602"/>
    </row>
    <row r="22" spans="1:99" ht="30" hidden="1" customHeight="1" outlineLevel="1">
      <c r="A22" s="59"/>
      <c r="B22" s="247"/>
      <c r="C22" s="247"/>
      <c r="D22" s="62"/>
      <c r="E22" s="62"/>
      <c r="F22" s="247"/>
      <c r="G22" s="64"/>
      <c r="H22" s="65"/>
      <c r="I22" s="65"/>
      <c r="J22" s="65"/>
      <c r="K22" s="629"/>
      <c r="L22" s="67"/>
      <c r="M22" s="68"/>
      <c r="N22" s="68"/>
      <c r="O22" s="287"/>
      <c r="P22" s="70"/>
      <c r="Q22" s="70"/>
      <c r="R22" s="249"/>
      <c r="S22" s="250"/>
      <c r="T22" s="70"/>
      <c r="U22" s="70"/>
      <c r="V22" s="70"/>
      <c r="W22" s="70"/>
      <c r="X22" s="250"/>
      <c r="Y22" s="70"/>
      <c r="Z22" s="70"/>
      <c r="AA22" s="70"/>
      <c r="AB22" s="274"/>
      <c r="AC22" s="135"/>
      <c r="AD22" s="135"/>
      <c r="AE22" s="1717">
        <f>AD22</f>
        <v>0</v>
      </c>
      <c r="AF22" s="78"/>
      <c r="AG22" s="75"/>
      <c r="AH22" s="276"/>
      <c r="AI22" s="254"/>
      <c r="AJ22" s="255"/>
      <c r="AK22" s="74"/>
      <c r="AL22" s="75"/>
      <c r="AM22" s="78"/>
      <c r="AN22" s="289"/>
      <c r="AO22" s="256"/>
      <c r="AP22" s="74"/>
      <c r="AQ22" s="112"/>
      <c r="AR22" s="247"/>
      <c r="AS22" s="247"/>
      <c r="AT22" s="247"/>
      <c r="AU22" s="317"/>
      <c r="AV22" s="387"/>
      <c r="AW22" s="448"/>
      <c r="AX22" s="311"/>
      <c r="AY22" s="63"/>
      <c r="AZ22" s="63"/>
      <c r="BA22" s="312"/>
      <c r="BB22" s="1317"/>
      <c r="BC22" s="1381"/>
      <c r="BD22" s="260"/>
      <c r="BE22" s="261"/>
      <c r="BF22" s="146"/>
      <c r="BG22" s="143"/>
      <c r="BH22" s="143"/>
      <c r="BI22" s="143"/>
      <c r="BJ22" s="143"/>
      <c r="BK22" s="143"/>
      <c r="BL22" s="145"/>
      <c r="BM22" s="262"/>
      <c r="BN22" s="263"/>
      <c r="BO22" s="931"/>
      <c r="BP22" s="1385">
        <f>AC22</f>
        <v>0</v>
      </c>
      <c r="BQ22" s="209"/>
      <c r="BR22" s="265"/>
      <c r="BS22" s="209"/>
      <c r="BT22" s="266">
        <f>S22</f>
        <v>0</v>
      </c>
      <c r="BU22" s="265">
        <f>AG22</f>
        <v>0</v>
      </c>
      <c r="BV22" s="267"/>
      <c r="BW22" s="101"/>
      <c r="BX22" s="102"/>
      <c r="BY22" s="103"/>
      <c r="BZ22" s="104"/>
      <c r="CA22" s="105"/>
      <c r="CB22" s="216"/>
      <c r="CC22" s="268"/>
      <c r="CD22" s="216"/>
      <c r="CE22" s="268"/>
      <c r="CF22" s="1383"/>
      <c r="CG22" s="659"/>
      <c r="CH22" s="1384"/>
      <c r="CI22" s="1384"/>
      <c r="CJ22" s="1384"/>
      <c r="CK22" s="1313">
        <f>IF($BP22&lt;=$B$1,T22-T22*CH22,T22)</f>
        <v>0</v>
      </c>
      <c r="CL22" s="1302">
        <f>IF($BP22&lt;=$B$1,S22-S22*CJ22,S22)</f>
        <v>0</v>
      </c>
      <c r="CM22" s="1321">
        <f>IF(CK22=0,M22-S22,($N22-$CK22)*$M22/$N22)</f>
        <v>0</v>
      </c>
      <c r="CN22" s="1321">
        <f>IF(CK22=0,0,-($CL22-$CK22*$M22/$N22))</f>
        <v>0</v>
      </c>
      <c r="CO22" s="1321">
        <f>CM22+CN22</f>
        <v>0</v>
      </c>
      <c r="CP22" s="1322"/>
      <c r="CQ22" s="1322"/>
      <c r="CR22" s="1322"/>
      <c r="CS22" s="1313">
        <f>IF($A22&lt;=$B$1,N22-N22*CP22,N22)</f>
        <v>0</v>
      </c>
      <c r="CT22" s="1302">
        <f>IF($A22&lt;=$B$1,M22-M22*CR22,M22)</f>
        <v>0</v>
      </c>
      <c r="CU22" s="602"/>
    </row>
    <row r="23" spans="1:99" ht="30" hidden="1" customHeight="1" outlineLevel="1">
      <c r="A23" s="59"/>
      <c r="B23" s="247"/>
      <c r="C23" s="247"/>
      <c r="D23" s="248"/>
      <c r="E23" s="62"/>
      <c r="F23" s="247"/>
      <c r="G23" s="64"/>
      <c r="H23" s="65"/>
      <c r="I23" s="65"/>
      <c r="J23" s="65"/>
      <c r="K23" s="629"/>
      <c r="L23" s="67"/>
      <c r="M23" s="68"/>
      <c r="N23" s="68"/>
      <c r="O23" s="287"/>
      <c r="P23" s="70"/>
      <c r="Q23" s="70"/>
      <c r="R23" s="249"/>
      <c r="S23" s="250"/>
      <c r="T23" s="70"/>
      <c r="U23" s="70"/>
      <c r="V23" s="70"/>
      <c r="W23" s="70"/>
      <c r="X23" s="250"/>
      <c r="Y23" s="70"/>
      <c r="Z23" s="70"/>
      <c r="AA23" s="70"/>
      <c r="AB23" s="274"/>
      <c r="AC23" s="135"/>
      <c r="AD23" s="135"/>
      <c r="AE23" s="1717">
        <f>AD23</f>
        <v>0</v>
      </c>
      <c r="AF23" s="78"/>
      <c r="AG23" s="75" t="str">
        <f>IF(S23="","",AF23*S23)</f>
        <v/>
      </c>
      <c r="AH23" s="276"/>
      <c r="AI23" s="254"/>
      <c r="AJ23" s="255"/>
      <c r="AK23" s="74"/>
      <c r="AL23" s="75"/>
      <c r="AM23" s="78"/>
      <c r="AN23" s="289"/>
      <c r="AO23" s="256"/>
      <c r="AP23" s="74"/>
      <c r="AQ23" s="112"/>
      <c r="AR23" s="247"/>
      <c r="AS23" s="247"/>
      <c r="AT23" s="247"/>
      <c r="AU23" s="317"/>
      <c r="AV23" s="387"/>
      <c r="AW23" s="448"/>
      <c r="AX23" s="311" t="str">
        <f>IF(AN23&lt;1,"-",AN23)</f>
        <v>-</v>
      </c>
      <c r="AY23" s="63" t="str">
        <f>IF(AX23="-","-",($B$2-AM23+1)*AX23)</f>
        <v>-</v>
      </c>
      <c r="AZ23" s="63" t="str">
        <f>IF(AX23="-","-",AX23-H23)</f>
        <v>-</v>
      </c>
      <c r="BA23" s="312" t="str">
        <f>IF(AX23="-","-",AX23/H23)</f>
        <v>-</v>
      </c>
      <c r="BB23" s="1317"/>
      <c r="BC23" s="1381"/>
      <c r="BD23" s="260"/>
      <c r="BE23" s="261"/>
      <c r="BF23" s="146"/>
      <c r="BG23" s="143"/>
      <c r="BH23" s="143"/>
      <c r="BI23" s="143"/>
      <c r="BJ23" s="143"/>
      <c r="BK23" s="143"/>
      <c r="BL23" s="145"/>
      <c r="BM23" s="262"/>
      <c r="BN23" s="263"/>
      <c r="BO23" s="931"/>
      <c r="BP23" s="1385">
        <f>AC23</f>
        <v>0</v>
      </c>
      <c r="BQ23" s="209"/>
      <c r="BR23" s="265"/>
      <c r="BS23" s="209"/>
      <c r="BT23" s="266">
        <f>S23</f>
        <v>0</v>
      </c>
      <c r="BU23" s="265" t="str">
        <f>AG23</f>
        <v/>
      </c>
      <c r="BV23" s="267"/>
      <c r="BW23" s="101"/>
      <c r="BX23" s="102"/>
      <c r="BY23" s="103"/>
      <c r="BZ23" s="104"/>
      <c r="CA23" s="105"/>
      <c r="CB23" s="216"/>
      <c r="CC23" s="268"/>
      <c r="CD23" s="216"/>
      <c r="CE23" s="268"/>
      <c r="CF23" s="1383"/>
      <c r="CG23" s="657"/>
      <c r="CH23" s="1312"/>
      <c r="CI23" s="1312"/>
      <c r="CJ23" s="1312"/>
      <c r="CK23" s="1313">
        <f>IF($BP23&lt;=$B$1,T23-T23*CH23,T23)</f>
        <v>0</v>
      </c>
      <c r="CL23" s="1302">
        <f>IF($BP23&lt;=$B$1,S23-S23*CJ23,S23)</f>
        <v>0</v>
      </c>
      <c r="CM23" s="1321">
        <f>IF(CK23=0,M23-S23,($N23-$CK23)*$M23/$N23)</f>
        <v>0</v>
      </c>
      <c r="CN23" s="1321">
        <f>IF(CK23=0,0,-($CL23-$CK23*$M23/$N23))</f>
        <v>0</v>
      </c>
      <c r="CO23" s="1321">
        <f>CM23+CN23</f>
        <v>0</v>
      </c>
      <c r="CP23" s="1322"/>
      <c r="CQ23" s="1322"/>
      <c r="CR23" s="1322"/>
      <c r="CS23" s="1313">
        <f>IF($A23&lt;=$B$1,N23-N23*CP23,N23)</f>
        <v>0</v>
      </c>
      <c r="CT23" s="1302">
        <f>IF($A23&lt;=$B$1,M23-M23*CR23,M23)</f>
        <v>0</v>
      </c>
      <c r="CU23" s="602"/>
    </row>
    <row r="24" spans="1:99" ht="30" hidden="1" customHeight="1" outlineLevel="1" collapsed="1">
      <c r="A24" s="148" t="s">
        <v>86</v>
      </c>
      <c r="B24" s="149">
        <f>COUNTIF(A20:A23,$B$1)</f>
        <v>0</v>
      </c>
      <c r="C24" s="150"/>
      <c r="D24" s="151"/>
      <c r="E24" s="151"/>
      <c r="F24" s="151"/>
      <c r="G24" s="152"/>
      <c r="H24" s="152">
        <f>SUMIF(A20:A23,$B$1,H20:H23)</f>
        <v>0</v>
      </c>
      <c r="I24" s="152">
        <f>SUM(I20:I23)</f>
        <v>0</v>
      </c>
      <c r="J24" s="152"/>
      <c r="K24" s="152"/>
      <c r="L24" s="153">
        <f>SUMIF(A20:A23,$B$1,L20:L23)</f>
        <v>0</v>
      </c>
      <c r="M24" s="153">
        <f>SUMIF(A20:A23,$B$1,M20:M23)</f>
        <v>0</v>
      </c>
      <c r="N24" s="152"/>
      <c r="O24" s="152"/>
      <c r="P24" s="152"/>
      <c r="Q24" s="152"/>
      <c r="R24" s="152"/>
      <c r="S24" s="152">
        <f>SUMIF(A20:A23,$B$1,S20:S23)</f>
        <v>0</v>
      </c>
      <c r="T24" s="152">
        <f>SUMIF(A20:A23,$B$1,T20:T23)</f>
        <v>0</v>
      </c>
      <c r="U24" s="151"/>
      <c r="V24" s="151"/>
      <c r="W24" s="151"/>
      <c r="X24" s="152">
        <f>SUMIF(G20:G23,$B$1,X20:X23)</f>
        <v>0</v>
      </c>
      <c r="Y24" s="152">
        <f>SUMIF(G20:G23,$B$1,Y20:Y23)</f>
        <v>0</v>
      </c>
      <c r="Z24" s="151"/>
      <c r="AA24" s="151"/>
      <c r="AB24" s="151"/>
      <c r="AC24" s="154"/>
      <c r="AD24" s="155"/>
      <c r="AE24" s="1718"/>
      <c r="AF24" s="158"/>
      <c r="AG24" s="157"/>
      <c r="AH24" s="730"/>
      <c r="AI24" s="156"/>
      <c r="AJ24" s="156"/>
      <c r="AK24" s="152"/>
      <c r="AL24" s="157"/>
      <c r="AM24" s="297">
        <f>COUNTA(AM20:AM23)</f>
        <v>0</v>
      </c>
      <c r="AN24" s="160">
        <f>SUM(AN20:AN23)</f>
        <v>0</v>
      </c>
      <c r="AO24" s="152">
        <f>SUM(AO20:AO23)</f>
        <v>0</v>
      </c>
      <c r="AP24" s="161"/>
      <c r="AQ24" s="151"/>
      <c r="AR24" s="151"/>
      <c r="AS24" s="151"/>
      <c r="AT24" s="151"/>
      <c r="AU24" s="151"/>
      <c r="AV24" s="151"/>
      <c r="AW24" s="151"/>
      <c r="AX24" s="165">
        <f>SUM(AX20:AX23)</f>
        <v>0</v>
      </c>
      <c r="AY24" s="163">
        <f>SUM(AY20:AY23)</f>
        <v>0</v>
      </c>
      <c r="AZ24" s="163">
        <f>SUM(AZ20:AZ23)</f>
        <v>0</v>
      </c>
      <c r="BA24" s="221" t="str">
        <f>IF(COUNT(BA20:BA23)=0,"-",AVERAGE(BA20:BA23))</f>
        <v>-</v>
      </c>
      <c r="BB24" s="1386"/>
      <c r="BC24" s="1387"/>
      <c r="BD24" s="299"/>
      <c r="BE24" s="300"/>
      <c r="BF24" s="300"/>
      <c r="BG24" s="300"/>
      <c r="BH24" s="300"/>
      <c r="BI24" s="300"/>
      <c r="BJ24" s="300"/>
      <c r="BK24" s="300"/>
      <c r="BL24" s="300"/>
      <c r="BM24" s="300"/>
      <c r="BN24" s="301"/>
      <c r="BO24" s="683"/>
      <c r="BP24" s="1388"/>
      <c r="BQ24" s="99"/>
      <c r="BR24" s="131"/>
      <c r="BS24" s="99"/>
      <c r="BT24" s="130"/>
      <c r="BU24" s="131"/>
      <c r="BV24" s="131"/>
      <c r="BW24" s="52"/>
      <c r="BX24" s="53"/>
      <c r="BY24" s="173">
        <f>AM24</f>
        <v>0</v>
      </c>
      <c r="BZ24" s="173">
        <f>COUNTIF(BZ20:BZ23,"=0")</f>
        <v>0</v>
      </c>
      <c r="CA24" s="174">
        <f>SUM(COUNTIF(BZ20:BZ23,"&lt;0"),COUNTIF(BZ20:BZ23,"&gt;0"))</f>
        <v>0</v>
      </c>
      <c r="CB24" s="303"/>
      <c r="CC24" s="53"/>
      <c r="CD24" s="53"/>
      <c r="CE24" s="53"/>
      <c r="CF24" s="731"/>
      <c r="CG24" s="657"/>
      <c r="CH24" s="1312"/>
      <c r="CI24" s="1312"/>
      <c r="CJ24" s="1312"/>
      <c r="CK24" s="1354">
        <f>SUMIF($BP21:$BP23,$B$1,CK20:CK23)</f>
        <v>0</v>
      </c>
      <c r="CL24" s="1355">
        <f>SUMIF($BP21:$BP23,$B$1,CL20:CL23)</f>
        <v>0</v>
      </c>
      <c r="CM24" s="1355">
        <f>SUMIF($A20:$A23,$B$1,CM20:CM23)</f>
        <v>0</v>
      </c>
      <c r="CN24" s="1355">
        <f>SUMIF($A20:$A23,$B$1,CN20:CN23)</f>
        <v>0</v>
      </c>
      <c r="CO24" s="1356">
        <f>SUMIF($A20:$A23,$B$1,CO20:CO23)</f>
        <v>0</v>
      </c>
      <c r="CP24" s="1322"/>
      <c r="CQ24" s="1322"/>
      <c r="CR24" s="1322"/>
      <c r="CS24" s="1354">
        <f>SUMIF($A20:$A23,$B$1,CS20:CS23)</f>
        <v>0</v>
      </c>
      <c r="CT24" s="1354">
        <f>SUMIF($A20:$A23,$B$1,CT20:CT23)</f>
        <v>0</v>
      </c>
      <c r="CU24" s="602"/>
    </row>
    <row r="25" spans="1:99" ht="30" hidden="1" customHeight="1" outlineLevel="1">
      <c r="A25" s="179" t="s">
        <v>87</v>
      </c>
      <c r="B25" s="180">
        <f>COUNT(A20:A23)</f>
        <v>0</v>
      </c>
      <c r="C25" s="181"/>
      <c r="D25" s="182"/>
      <c r="E25" s="182"/>
      <c r="F25" s="182"/>
      <c r="G25" s="184"/>
      <c r="H25" s="184">
        <f>SUM(H20:H23)</f>
        <v>0</v>
      </c>
      <c r="I25" s="184"/>
      <c r="J25" s="184">
        <f>SUM(J20:J23)</f>
        <v>0</v>
      </c>
      <c r="K25" s="184"/>
      <c r="L25" s="184"/>
      <c r="M25" s="184"/>
      <c r="N25" s="184"/>
      <c r="O25" s="184"/>
      <c r="P25" s="184"/>
      <c r="Q25" s="184"/>
      <c r="R25" s="185"/>
      <c r="S25" s="185">
        <f>SUMIF(AE20:AE23,"переход",S20:S23)</f>
        <v>0</v>
      </c>
      <c r="T25" s="185"/>
      <c r="U25" s="182"/>
      <c r="V25" s="182"/>
      <c r="W25" s="182"/>
      <c r="X25" s="187"/>
      <c r="Y25" s="185"/>
      <c r="Z25" s="182"/>
      <c r="AA25" s="182"/>
      <c r="AB25" s="182"/>
      <c r="AC25" s="186"/>
      <c r="AD25" s="186"/>
      <c r="AE25" s="1719"/>
      <c r="AF25" s="184">
        <f>COUNT(AG20:AG23)</f>
        <v>0</v>
      </c>
      <c r="AG25" s="191">
        <f>SUM(AG20:AG23)</f>
        <v>0</v>
      </c>
      <c r="AH25" s="186"/>
      <c r="AI25" s="186"/>
      <c r="AJ25" s="186"/>
      <c r="AK25" s="184"/>
      <c r="AL25" s="184">
        <f>SUM(AL20:AL23)</f>
        <v>0</v>
      </c>
      <c r="AM25" s="184"/>
      <c r="AN25" s="182"/>
      <c r="AO25" s="182"/>
      <c r="AP25" s="187"/>
      <c r="AQ25" s="182"/>
      <c r="AR25" s="182"/>
      <c r="AS25" s="182"/>
      <c r="AT25" s="182"/>
      <c r="AU25" s="182"/>
      <c r="AV25" s="182"/>
      <c r="AW25" s="182"/>
      <c r="AX25" s="190"/>
      <c r="AY25" s="190"/>
      <c r="AZ25" s="190"/>
      <c r="BA25" s="304"/>
      <c r="BB25" s="1389">
        <f>SUM(BB20:BB23)</f>
        <v>0</v>
      </c>
      <c r="BC25" s="307"/>
      <c r="BD25" s="306"/>
      <c r="BE25" s="307"/>
      <c r="BF25" s="307"/>
      <c r="BG25" s="307"/>
      <c r="BH25" s="307"/>
      <c r="BI25" s="307"/>
      <c r="BJ25" s="307"/>
      <c r="BK25" s="307"/>
      <c r="BL25" s="307"/>
      <c r="BM25" s="307"/>
      <c r="BN25" s="308"/>
      <c r="BO25" s="230"/>
      <c r="BP25" s="1388"/>
      <c r="BQ25" s="99"/>
      <c r="BR25" s="131"/>
      <c r="BS25" s="99"/>
      <c r="BT25" s="130"/>
      <c r="BU25" s="131"/>
      <c r="BV25" s="131"/>
      <c r="BW25" s="52"/>
      <c r="BX25" s="53"/>
      <c r="BY25" s="197">
        <f>SUM(BY20:BY23)</f>
        <v>0</v>
      </c>
      <c r="BZ25" s="197">
        <f>SUMIF(BZ20:BZ23,"=0",CA20:CA23)</f>
        <v>0</v>
      </c>
      <c r="CA25" s="198">
        <f>SUMIF(BZ20:BZ23,"&lt;&gt;0",CA20:CA23)</f>
        <v>0</v>
      </c>
      <c r="CB25" s="303"/>
      <c r="CC25" s="53"/>
      <c r="CD25" s="53"/>
      <c r="CE25" s="53"/>
      <c r="CF25" s="744"/>
      <c r="CG25" s="659"/>
      <c r="CH25" s="1312"/>
      <c r="CI25" s="1312"/>
      <c r="CJ25" s="1312"/>
      <c r="CK25" s="1357"/>
      <c r="CL25" s="1358">
        <f>CL24-$S24</f>
        <v>0</v>
      </c>
      <c r="CM25" s="1357"/>
      <c r="CN25" s="1359"/>
      <c r="CO25" s="1357"/>
      <c r="CP25" s="1322"/>
      <c r="CQ25" s="1322"/>
      <c r="CR25" s="1322"/>
      <c r="CS25" s="1357"/>
      <c r="CT25" s="1358">
        <f>CT24-$M24</f>
        <v>0</v>
      </c>
      <c r="CU25" s="602"/>
    </row>
    <row r="26" spans="1:99" ht="30" hidden="1" customHeight="1" outlineLevel="1">
      <c r="A26" s="2144" t="s">
        <v>247</v>
      </c>
      <c r="B26" s="2144"/>
      <c r="C26" s="2144"/>
      <c r="D26" s="2144"/>
      <c r="E26" s="2144"/>
      <c r="F26" s="21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1703"/>
      <c r="AF26" s="44"/>
      <c r="AG26" s="45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5"/>
      <c r="BD26" s="241"/>
      <c r="BE26" s="241"/>
      <c r="BF26" s="241"/>
      <c r="BG26" s="241"/>
      <c r="BH26" s="241"/>
      <c r="BI26" s="241"/>
      <c r="BJ26" s="241"/>
      <c r="BK26" s="241"/>
      <c r="BL26" s="241"/>
      <c r="BM26" s="241"/>
      <c r="BN26" s="294"/>
      <c r="BO26" s="478"/>
      <c r="BP26" s="1390"/>
      <c r="BQ26" s="100"/>
      <c r="BR26" s="97"/>
      <c r="BS26" s="100"/>
      <c r="BT26" s="96"/>
      <c r="BU26" s="97"/>
      <c r="BV26" s="100"/>
      <c r="BW26" s="52"/>
      <c r="BX26" s="53"/>
      <c r="BY26" s="53"/>
      <c r="BZ26" s="53"/>
      <c r="CA26" s="206"/>
      <c r="CB26" s="309"/>
      <c r="CC26" s="53"/>
      <c r="CD26" s="53"/>
      <c r="CE26" s="53"/>
      <c r="CF26" s="52"/>
      <c r="CG26" s="659"/>
      <c r="CH26" s="1384"/>
      <c r="CI26" s="1384"/>
      <c r="CJ26" s="1384"/>
      <c r="CK26" s="1313"/>
      <c r="CL26" s="1315"/>
      <c r="CM26" s="1361"/>
      <c r="CN26" s="1361"/>
      <c r="CO26" s="1361"/>
      <c r="CP26" s="1391"/>
      <c r="CQ26" s="1391"/>
      <c r="CR26" s="1391"/>
      <c r="CS26" s="1313"/>
      <c r="CT26" s="1315"/>
      <c r="CU26" s="602"/>
    </row>
    <row r="27" spans="1:99" ht="30" hidden="1" customHeight="1" outlineLevel="1">
      <c r="A27" s="484"/>
      <c r="B27" s="247"/>
      <c r="C27" s="247"/>
      <c r="D27" s="248"/>
      <c r="E27" s="248"/>
      <c r="F27" s="247"/>
      <c r="G27" s="64"/>
      <c r="H27" s="80"/>
      <c r="I27" s="80"/>
      <c r="J27" s="80"/>
      <c r="K27" s="271"/>
      <c r="L27" s="112"/>
      <c r="M27" s="68"/>
      <c r="N27" s="68"/>
      <c r="O27" s="70"/>
      <c r="P27" s="70"/>
      <c r="Q27" s="70"/>
      <c r="R27" s="249"/>
      <c r="S27" s="250"/>
      <c r="T27" s="70"/>
      <c r="U27" s="70"/>
      <c r="V27" s="70"/>
      <c r="W27" s="70"/>
      <c r="X27" s="250"/>
      <c r="Y27" s="70"/>
      <c r="Z27" s="70"/>
      <c r="AA27" s="70"/>
      <c r="AB27" s="274"/>
      <c r="AC27" s="135"/>
      <c r="AD27" s="135"/>
      <c r="AE27" s="1723"/>
      <c r="AF27" s="969"/>
      <c r="AG27" s="75"/>
      <c r="AH27" s="276"/>
      <c r="AI27" s="254"/>
      <c r="AJ27" s="255"/>
      <c r="AK27" s="74"/>
      <c r="AL27" s="75"/>
      <c r="AM27" s="78"/>
      <c r="AN27" s="289"/>
      <c r="AO27" s="256"/>
      <c r="AP27" s="74"/>
      <c r="AQ27" s="112"/>
      <c r="AR27" s="247"/>
      <c r="AS27" s="247"/>
      <c r="AT27" s="247"/>
      <c r="AU27" s="317"/>
      <c r="AV27" s="387"/>
      <c r="AW27" s="448"/>
      <c r="AX27" s="277"/>
      <c r="AY27" s="250"/>
      <c r="AZ27" s="85"/>
      <c r="BA27" s="85"/>
      <c r="BB27" s="1317"/>
      <c r="BC27" s="1381"/>
      <c r="BD27" s="260"/>
      <c r="BE27" s="261"/>
      <c r="BF27" s="146"/>
      <c r="BG27" s="143"/>
      <c r="BH27" s="143"/>
      <c r="BI27" s="143"/>
      <c r="BJ27" s="143"/>
      <c r="BK27" s="143"/>
      <c r="BL27" s="145"/>
      <c r="BM27" s="262"/>
      <c r="BN27" s="263"/>
      <c r="BO27" s="931"/>
      <c r="BP27" s="1385">
        <f>AC27</f>
        <v>0</v>
      </c>
      <c r="BQ27" s="209"/>
      <c r="BR27" s="265"/>
      <c r="BS27" s="209"/>
      <c r="BT27" s="266">
        <f>S27</f>
        <v>0</v>
      </c>
      <c r="BU27" s="265">
        <f>AG27</f>
        <v>0</v>
      </c>
      <c r="BV27" s="267"/>
      <c r="BW27" s="101"/>
      <c r="BX27" s="102"/>
      <c r="BY27" s="103"/>
      <c r="BZ27" s="104"/>
      <c r="CA27" s="105"/>
      <c r="CB27" s="216"/>
      <c r="CC27" s="268"/>
      <c r="CD27" s="216"/>
      <c r="CE27" s="268"/>
      <c r="CF27" s="1383"/>
      <c r="CG27" s="659"/>
      <c r="CH27" s="1384"/>
      <c r="CI27" s="1384"/>
      <c r="CJ27" s="1384"/>
      <c r="CK27" s="1313"/>
      <c r="CL27" s="1315"/>
      <c r="CM27" s="1361"/>
      <c r="CN27" s="1361"/>
      <c r="CO27" s="1361"/>
      <c r="CP27" s="1391"/>
      <c r="CQ27" s="1391"/>
      <c r="CR27" s="1391"/>
      <c r="CS27" s="1313"/>
      <c r="CT27" s="1315"/>
      <c r="CU27" s="602"/>
    </row>
    <row r="28" spans="1:99" ht="30" hidden="1" customHeight="1" outlineLevel="1">
      <c r="A28" s="316"/>
      <c r="B28" s="247"/>
      <c r="C28" s="247"/>
      <c r="D28" s="62"/>
      <c r="E28" s="62"/>
      <c r="F28" s="247"/>
      <c r="G28" s="322"/>
      <c r="H28" s="322"/>
      <c r="I28" s="64"/>
      <c r="J28" s="80"/>
      <c r="K28" s="248"/>
      <c r="L28" s="248"/>
      <c r="M28" s="317"/>
      <c r="N28" s="317"/>
      <c r="O28" s="70"/>
      <c r="P28" s="70"/>
      <c r="Q28" s="70"/>
      <c r="R28" s="248"/>
      <c r="S28" s="250"/>
      <c r="T28" s="70"/>
      <c r="U28" s="70"/>
      <c r="V28" s="70"/>
      <c r="W28" s="70"/>
      <c r="X28" s="250"/>
      <c r="Y28" s="70"/>
      <c r="Z28" s="70"/>
      <c r="AA28" s="70"/>
      <c r="AB28" s="323"/>
      <c r="AC28" s="318"/>
      <c r="AD28" s="288"/>
      <c r="AE28" s="1724"/>
      <c r="AF28" s="542"/>
      <c r="AG28" s="324"/>
      <c r="AH28" s="541"/>
      <c r="AI28" s="77"/>
      <c r="AJ28" s="276"/>
      <c r="AK28" s="74"/>
      <c r="AL28" s="75"/>
      <c r="AM28" s="78"/>
      <c r="AN28" s="289"/>
      <c r="AO28" s="256"/>
      <c r="AP28" s="289"/>
      <c r="AQ28" s="66"/>
      <c r="AR28" s="247"/>
      <c r="AS28" s="247"/>
      <c r="AT28" s="247"/>
      <c r="AU28" s="247"/>
      <c r="AV28" s="290"/>
      <c r="AW28" s="273"/>
      <c r="AX28" s="85"/>
      <c r="AY28" s="63"/>
      <c r="AZ28" s="85"/>
      <c r="BA28" s="85"/>
      <c r="BB28" s="1317"/>
      <c r="BC28" s="321"/>
      <c r="BD28" s="320"/>
      <c r="BE28" s="321"/>
      <c r="BF28" s="321"/>
      <c r="BG28" s="321"/>
      <c r="BH28" s="321"/>
      <c r="BI28" s="321"/>
      <c r="BJ28" s="321"/>
      <c r="BK28" s="321"/>
      <c r="BL28" s="321"/>
      <c r="BM28" s="321"/>
      <c r="BN28"/>
      <c r="BO28"/>
      <c r="BP28" s="1388">
        <f>AC28</f>
        <v>0</v>
      </c>
      <c r="BQ28" s="99"/>
      <c r="BR28" s="131"/>
      <c r="BS28" s="99"/>
      <c r="BT28" s="130">
        <f>S28</f>
        <v>0</v>
      </c>
      <c r="BU28" s="131">
        <f>AG28</f>
        <v>0</v>
      </c>
      <c r="BV28" s="131"/>
      <c r="BW28" s="101"/>
      <c r="BX28" s="102"/>
      <c r="BY28" s="103"/>
      <c r="BZ28" s="104"/>
      <c r="CA28" s="105"/>
      <c r="CB28" s="131"/>
      <c r="CC28" s="53"/>
      <c r="CD28" s="53"/>
      <c r="CE28" s="53"/>
      <c r="CF28" s="1392"/>
      <c r="CG28" s="659"/>
      <c r="CH28" s="1384"/>
      <c r="CI28" s="1384"/>
      <c r="CJ28" s="1384"/>
      <c r="CK28" s="1313"/>
      <c r="CL28" s="1315"/>
      <c r="CM28" s="1361"/>
      <c r="CN28" s="1361"/>
      <c r="CO28" s="1361"/>
      <c r="CP28" s="1391"/>
      <c r="CQ28" s="1391"/>
      <c r="CR28" s="1391"/>
      <c r="CS28" s="1313"/>
      <c r="CT28" s="1315"/>
      <c r="CU28" s="602"/>
    </row>
    <row r="29" spans="1:99" ht="30" hidden="1" customHeight="1" outlineLevel="1">
      <c r="A29" s="316"/>
      <c r="B29" s="247"/>
      <c r="C29" s="247"/>
      <c r="D29" s="248"/>
      <c r="E29" s="248"/>
      <c r="F29" s="247"/>
      <c r="G29" s="322"/>
      <c r="H29" s="322"/>
      <c r="I29" s="64"/>
      <c r="J29" s="80"/>
      <c r="K29" s="248"/>
      <c r="L29" s="248"/>
      <c r="M29" s="317"/>
      <c r="N29" s="317"/>
      <c r="O29" s="70"/>
      <c r="P29" s="70"/>
      <c r="Q29" s="70"/>
      <c r="R29" s="70"/>
      <c r="S29" s="250"/>
      <c r="T29" s="70"/>
      <c r="U29" s="70"/>
      <c r="V29" s="70"/>
      <c r="W29" s="70"/>
      <c r="X29" s="250"/>
      <c r="Y29" s="70"/>
      <c r="Z29" s="70"/>
      <c r="AA29" s="70"/>
      <c r="AB29" s="323"/>
      <c r="AC29" s="318"/>
      <c r="AD29" s="288"/>
      <c r="AE29" s="1724"/>
      <c r="AF29" s="542"/>
      <c r="AG29" s="324"/>
      <c r="AH29" s="541"/>
      <c r="AI29" s="77"/>
      <c r="AJ29" s="276"/>
      <c r="AK29" s="74"/>
      <c r="AL29" s="75"/>
      <c r="AM29" s="78"/>
      <c r="AN29" s="289"/>
      <c r="AO29" s="256"/>
      <c r="AP29" s="289"/>
      <c r="AQ29" s="66"/>
      <c r="AR29" s="247"/>
      <c r="AS29" s="247"/>
      <c r="AT29" s="247"/>
      <c r="AU29" s="247"/>
      <c r="AV29" s="290"/>
      <c r="AW29" s="273"/>
      <c r="AX29" s="85"/>
      <c r="AY29" s="63"/>
      <c r="AZ29" s="85"/>
      <c r="BA29" s="85"/>
      <c r="BB29" s="1317"/>
      <c r="BC29" s="321"/>
      <c r="BD29" s="320"/>
      <c r="BE29" s="321"/>
      <c r="BF29" s="321"/>
      <c r="BG29" s="321"/>
      <c r="BH29" s="321"/>
      <c r="BI29" s="321"/>
      <c r="BJ29" s="321"/>
      <c r="BK29" s="321"/>
      <c r="BL29" s="321"/>
      <c r="BM29" s="321"/>
      <c r="BN29"/>
      <c r="BO29"/>
      <c r="BP29" s="1388">
        <f>AC29</f>
        <v>0</v>
      </c>
      <c r="BQ29" s="99"/>
      <c r="BR29" s="131"/>
      <c r="BS29" s="99"/>
      <c r="BT29" s="130">
        <f>S29</f>
        <v>0</v>
      </c>
      <c r="BU29" s="131">
        <f>AG29</f>
        <v>0</v>
      </c>
      <c r="BV29" s="131"/>
      <c r="BW29" s="101"/>
      <c r="BX29" s="102"/>
      <c r="BY29" s="103"/>
      <c r="BZ29" s="104"/>
      <c r="CA29" s="105"/>
      <c r="CB29" s="131"/>
      <c r="CC29" s="53"/>
      <c r="CD29" s="53"/>
      <c r="CE29" s="53"/>
      <c r="CF29" s="1392"/>
      <c r="CG29" s="657"/>
      <c r="CH29" s="1312"/>
      <c r="CI29" s="1312"/>
      <c r="CJ29" s="1312"/>
      <c r="CK29" s="1378"/>
      <c r="CL29" s="1378"/>
      <c r="CM29" s="1378"/>
      <c r="CN29" s="1378"/>
      <c r="CO29" s="1378"/>
      <c r="CP29" s="1322"/>
      <c r="CQ29" s="1322"/>
      <c r="CR29" s="1322"/>
      <c r="CS29" s="1378"/>
      <c r="CT29" s="1378"/>
      <c r="CU29" s="602"/>
    </row>
    <row r="30" spans="1:99" ht="30" hidden="1" customHeight="1" outlineLevel="1">
      <c r="A30" s="325" t="s">
        <v>91</v>
      </c>
      <c r="B30" s="326"/>
      <c r="C30" s="327"/>
      <c r="D30" s="328"/>
      <c r="E30" s="328"/>
      <c r="F30" s="328"/>
      <c r="G30" s="329">
        <f>SUM(G27:G29)</f>
        <v>0</v>
      </c>
      <c r="H30" s="330">
        <f>SUM(H27:H29)</f>
        <v>0</v>
      </c>
      <c r="I30" s="329"/>
      <c r="J30" s="329"/>
      <c r="K30" s="329"/>
      <c r="L30" s="153">
        <f>SUMIF(A27:A29,$B$1,L27:L29)</f>
        <v>0</v>
      </c>
      <c r="M30" s="153">
        <f>SUMIF(A27:A29,$B$1,M27:M29)</f>
        <v>0</v>
      </c>
      <c r="N30" s="329"/>
      <c r="O30" s="329"/>
      <c r="P30" s="329"/>
      <c r="Q30" s="329"/>
      <c r="R30" s="329"/>
      <c r="S30" s="329"/>
      <c r="T30" s="329"/>
      <c r="U30" s="328"/>
      <c r="V30" s="328"/>
      <c r="W30" s="328"/>
      <c r="X30" s="329"/>
      <c r="Y30" s="329"/>
      <c r="Z30" s="328"/>
      <c r="AA30" s="328"/>
      <c r="AB30" s="328"/>
      <c r="AC30" s="331"/>
      <c r="AD30" s="332"/>
      <c r="AE30" s="1725"/>
      <c r="AF30" s="546"/>
      <c r="AG30" s="334"/>
      <c r="AH30" s="1393"/>
      <c r="AI30" s="333"/>
      <c r="AJ30" s="333"/>
      <c r="AK30" s="329"/>
      <c r="AL30" s="334"/>
      <c r="AM30" s="336">
        <f>COUNTA(AM27:AM29)</f>
        <v>0</v>
      </c>
      <c r="AN30" s="160">
        <f>SUM(AN27:AN29)</f>
        <v>0</v>
      </c>
      <c r="AO30" s="329"/>
      <c r="AP30" s="337"/>
      <c r="AQ30" s="328"/>
      <c r="AR30" s="328"/>
      <c r="AS30" s="328"/>
      <c r="AT30" s="328"/>
      <c r="AU30" s="328"/>
      <c r="AV30" s="328"/>
      <c r="AW30" s="328"/>
      <c r="AX30" s="339">
        <f>SUM(AX27:AX29)</f>
        <v>0</v>
      </c>
      <c r="AY30" s="338">
        <f>SUM(AY27:AY29)</f>
        <v>0</v>
      </c>
      <c r="AZ30" s="339">
        <f>SUM(AZ27:AZ29)</f>
        <v>0</v>
      </c>
      <c r="BA30" s="221" t="str">
        <f>IF(COUNT(BA27:BA29)=0,"-",AVERAGE(BA27:BA29))</f>
        <v>-</v>
      </c>
      <c r="BB30" s="1394"/>
      <c r="BC30" s="341"/>
      <c r="BD30" s="340"/>
      <c r="BE30" s="341"/>
      <c r="BF30" s="341"/>
      <c r="BG30" s="341"/>
      <c r="BH30" s="341"/>
      <c r="BI30" s="341"/>
      <c r="BJ30" s="341"/>
      <c r="BK30" s="341"/>
      <c r="BL30" s="341"/>
      <c r="BM30" s="341"/>
      <c r="BN30" s="163">
        <f>SUM(BN18:BN29)</f>
        <v>0</v>
      </c>
      <c r="BO30" s="149">
        <f>SUM(BO18:BO29)</f>
        <v>0</v>
      </c>
      <c r="BP30" s="1395">
        <f>COUNTA(BP20:BP29)</f>
        <v>7</v>
      </c>
      <c r="BQ30" s="1893">
        <f>SUM(BQ27:BQ29,BQ20:BQ23)</f>
        <v>0</v>
      </c>
      <c r="BR30" s="1889">
        <f>SUM(BR27:BR29,BR20:BR23)</f>
        <v>0</v>
      </c>
      <c r="BS30" s="170"/>
      <c r="BT30" s="1396"/>
      <c r="BU30" s="346"/>
      <c r="BV30" s="346"/>
      <c r="BW30" s="171"/>
      <c r="BX30" s="172"/>
      <c r="BY30" s="173">
        <f>AM30</f>
        <v>0</v>
      </c>
      <c r="BZ30" s="173">
        <f>COUNTIF(BZ27:BZ29,"=0")</f>
        <v>0</v>
      </c>
      <c r="CA30" s="174">
        <f>SUM(COUNTIF(BZ27:BZ29,"&lt;0"),COUNTIF(BZ27:BZ29,"&gt;0"))</f>
        <v>0</v>
      </c>
      <c r="CB30" s="225">
        <f>COUNTIF(CB20:CB23,"1")</f>
        <v>0</v>
      </c>
      <c r="CC30" s="226">
        <f>SUM(CC20:CC23)</f>
        <v>0</v>
      </c>
      <c r="CD30" s="227">
        <f>COUNTIF(CD20:CD29,"1")</f>
        <v>0</v>
      </c>
      <c r="CE30" s="228">
        <f>SUM(CE20:CE29)</f>
        <v>0</v>
      </c>
      <c r="CF30" s="1397"/>
      <c r="CG30" s="657"/>
      <c r="CH30" s="1312"/>
      <c r="CI30" s="1312"/>
      <c r="CJ30" s="1312"/>
      <c r="CK30" s="1354">
        <f>SUMIF($BP27:$BP29,$B$1,CK26:CK29)</f>
        <v>0</v>
      </c>
      <c r="CL30" s="1355">
        <f>SUMIF($BP27:$BP29,$B$1,CL26:CL29)</f>
        <v>0</v>
      </c>
      <c r="CM30" s="1355">
        <f>SUMIF($A26:$A29,$B$1,CM26:CM29)</f>
        <v>0</v>
      </c>
      <c r="CN30" s="1355">
        <f>SUMIF($A26:$A29,$B$1,CN26:CN29)</f>
        <v>0</v>
      </c>
      <c r="CO30" s="1356">
        <f>SUMIF($A26:$A29,$B$1,CO26:CO29)</f>
        <v>0</v>
      </c>
      <c r="CP30" s="1322"/>
      <c r="CQ30" s="1322"/>
      <c r="CR30" s="1322"/>
      <c r="CS30" s="1354">
        <f>SUMIF($A26:$A29,$B$1,CS26:CS29)</f>
        <v>0</v>
      </c>
      <c r="CT30" s="1354">
        <f>SUMIF($A26:$A29,$B$1,CT26:CT29)</f>
        <v>0</v>
      </c>
      <c r="CU30" s="602"/>
    </row>
    <row r="31" spans="1:99" ht="30" hidden="1" customHeight="1" outlineLevel="1">
      <c r="A31" s="1398" t="s">
        <v>89</v>
      </c>
      <c r="B31" s="1399"/>
      <c r="C31" s="1400"/>
      <c r="D31" s="1401"/>
      <c r="E31" s="1401"/>
      <c r="F31" s="182"/>
      <c r="G31" s="1402">
        <f>SUM(G30,G25)</f>
        <v>0</v>
      </c>
      <c r="H31" s="1402">
        <f>SUM(H30,H25)</f>
        <v>0</v>
      </c>
      <c r="I31" s="1402">
        <f>SUM(I30,I24)</f>
        <v>0</v>
      </c>
      <c r="J31" s="1402">
        <f>SUM(J30,J25)</f>
        <v>0</v>
      </c>
      <c r="K31" s="1402"/>
      <c r="L31" s="1402"/>
      <c r="M31" s="1402"/>
      <c r="N31" s="1402"/>
      <c r="O31" s="1402"/>
      <c r="P31" s="1402"/>
      <c r="Q31" s="1402"/>
      <c r="R31" s="1403"/>
      <c r="S31" s="1404"/>
      <c r="T31" s="1403"/>
      <c r="U31" s="1400"/>
      <c r="V31" s="1401"/>
      <c r="W31" s="1401"/>
      <c r="X31" s="1404"/>
      <c r="Y31" s="1403"/>
      <c r="Z31" s="1400"/>
      <c r="AA31" s="1401"/>
      <c r="AB31" s="1401"/>
      <c r="AC31" s="1405"/>
      <c r="AD31" s="1405"/>
      <c r="AE31" s="1726"/>
      <c r="AF31" s="1402"/>
      <c r="AG31" s="1406"/>
      <c r="AH31" s="1405"/>
      <c r="AI31" s="1405"/>
      <c r="AJ31" s="1405"/>
      <c r="AK31" s="1402"/>
      <c r="AL31" s="1402"/>
      <c r="AM31" s="1401">
        <f>SUM(AM30,AM24)</f>
        <v>0</v>
      </c>
      <c r="AN31" s="1401">
        <f>SUM(AN30,AN24)</f>
        <v>0</v>
      </c>
      <c r="AO31" s="1401"/>
      <c r="AP31" s="1407"/>
      <c r="AQ31" s="1401"/>
      <c r="AR31" s="1401"/>
      <c r="AS31" s="1401"/>
      <c r="AT31" s="1401"/>
      <c r="AU31" s="1401"/>
      <c r="AV31" s="1401"/>
      <c r="AW31" s="1401"/>
      <c r="AX31" s="1408">
        <f>SUM(AX30,AX24)</f>
        <v>0</v>
      </c>
      <c r="AY31" s="1409">
        <f>SUM(AY30,AY24)</f>
        <v>0</v>
      </c>
      <c r="AZ31" s="1408">
        <f>SUM(AZ30,AZ24)</f>
        <v>0</v>
      </c>
      <c r="BA31" s="1410" t="str">
        <f>IF(COUNT(BA27:BA29,BA20:BA23)=0,"-",AVERAGE(BA27:BA29,BA20:BA23))</f>
        <v>-</v>
      </c>
      <c r="BB31" s="1408">
        <f>+BB25</f>
        <v>0</v>
      </c>
      <c r="BC31" s="350"/>
      <c r="BD31" s="349"/>
      <c r="BE31" s="350"/>
      <c r="BF31" s="350"/>
      <c r="BG31" s="350"/>
      <c r="BH31" s="350"/>
      <c r="BI31" s="350"/>
      <c r="BJ31" s="350"/>
      <c r="BK31" s="350"/>
      <c r="BL31" s="350"/>
      <c r="BM31" s="350"/>
      <c r="BN31" s="549"/>
      <c r="BO31" s="230"/>
      <c r="BP31" s="1411"/>
      <c r="BQ31" s="1894"/>
      <c r="BR31" s="354"/>
      <c r="BS31" s="356">
        <f>SUMIF(BS20:BS29,"",BR20:BR29)</f>
        <v>0</v>
      </c>
      <c r="BT31" s="357"/>
      <c r="BU31" s="358"/>
      <c r="BV31" s="359"/>
      <c r="BW31" s="360"/>
      <c r="BX31" s="235"/>
      <c r="BY31" s="197">
        <f>SUM(BY27:BY29)</f>
        <v>0</v>
      </c>
      <c r="BZ31" s="197">
        <f>SUMIF(BZ27:BZ29,"=0",CA27:CA29)</f>
        <v>0</v>
      </c>
      <c r="CA31" s="198">
        <f>SUMIF(BZ27:BZ29,"&lt;&gt;0",CA27:CA29)</f>
        <v>0</v>
      </c>
      <c r="CB31" s="236"/>
      <c r="CC31" s="230"/>
      <c r="CD31" s="230"/>
      <c r="CE31" s="237"/>
      <c r="CF31" s="963"/>
      <c r="CG31" s="602"/>
      <c r="CH31" s="1312"/>
      <c r="CI31" s="1312"/>
      <c r="CJ31" s="1312"/>
      <c r="CK31" s="1357"/>
      <c r="CL31" s="1358">
        <f>CL30-$S30</f>
        <v>0</v>
      </c>
      <c r="CM31" s="1357"/>
      <c r="CN31" s="1359"/>
      <c r="CO31" s="1357"/>
      <c r="CP31" s="1322"/>
      <c r="CQ31" s="1322"/>
      <c r="CR31" s="1322"/>
      <c r="CS31" s="1357"/>
      <c r="CT31" s="1358">
        <f>CT30-$M30</f>
        <v>0</v>
      </c>
      <c r="CU31" s="602"/>
    </row>
    <row r="32" spans="1:99" ht="30" hidden="1" customHeight="1" outlineLevel="1">
      <c r="A32" s="2144" t="s">
        <v>92</v>
      </c>
      <c r="B32" s="2144"/>
      <c r="C32" s="2144"/>
      <c r="D32" s="2144"/>
      <c r="E32" s="2144"/>
      <c r="F32" s="2144"/>
      <c r="G32" s="362"/>
      <c r="H32" s="362"/>
      <c r="I32" s="362"/>
      <c r="J32" s="362"/>
      <c r="K32" s="362"/>
      <c r="L32" s="362"/>
      <c r="M32" s="362"/>
      <c r="N32" s="362"/>
      <c r="O32" s="362"/>
      <c r="P32" s="362"/>
      <c r="Q32" s="362"/>
      <c r="R32" s="362"/>
      <c r="S32" s="362"/>
      <c r="T32" s="362"/>
      <c r="U32" s="362"/>
      <c r="V32" s="362"/>
      <c r="W32" s="362"/>
      <c r="X32" s="362"/>
      <c r="Y32" s="362"/>
      <c r="Z32" s="362"/>
      <c r="AA32" s="362"/>
      <c r="AB32" s="362"/>
      <c r="AC32" s="362"/>
      <c r="AD32" s="362"/>
      <c r="AE32" s="1727"/>
      <c r="AF32" s="362"/>
      <c r="AG32" s="363"/>
      <c r="AH32" s="362"/>
      <c r="AI32" s="362"/>
      <c r="AJ32" s="362"/>
      <c r="AK32" s="362"/>
      <c r="AL32" s="362"/>
      <c r="AM32" s="362"/>
      <c r="AN32" s="362"/>
      <c r="AO32" s="362"/>
      <c r="AP32" s="362"/>
      <c r="AQ32" s="362"/>
      <c r="AR32" s="362"/>
      <c r="AS32" s="362"/>
      <c r="AT32" s="362"/>
      <c r="AU32" s="362"/>
      <c r="AV32" s="362"/>
      <c r="AW32" s="362"/>
      <c r="AX32" s="362"/>
      <c r="AY32" s="362"/>
      <c r="AZ32" s="362"/>
      <c r="BA32" s="362"/>
      <c r="BB32" s="362"/>
      <c r="BC32" s="363"/>
      <c r="BD32" s="364"/>
      <c r="BE32" s="364"/>
      <c r="BF32" s="364"/>
      <c r="BG32" s="364"/>
      <c r="BH32" s="364"/>
      <c r="BI32" s="364"/>
      <c r="BJ32" s="364"/>
      <c r="BK32" s="364"/>
      <c r="BL32" s="364"/>
      <c r="BM32" s="364"/>
      <c r="BN32" s="365"/>
      <c r="BO32" s="365"/>
      <c r="BP32" s="1412"/>
      <c r="BQ32" s="1895"/>
      <c r="BR32" s="367"/>
      <c r="BS32" s="368"/>
      <c r="BT32" s="96"/>
      <c r="BU32" s="97"/>
      <c r="BV32" s="100"/>
      <c r="BW32" s="369"/>
      <c r="BX32" s="365"/>
      <c r="BY32" s="365"/>
      <c r="BZ32" s="365"/>
      <c r="CA32" s="244"/>
      <c r="CB32" s="370"/>
      <c r="CC32" s="365"/>
      <c r="CD32" s="365"/>
      <c r="CE32" s="365"/>
      <c r="CF32" s="369"/>
      <c r="CG32" s="217"/>
      <c r="CH32" s="1312"/>
      <c r="CI32" s="1312"/>
      <c r="CJ32" s="1312"/>
      <c r="CK32" s="1313"/>
      <c r="CL32" s="1315"/>
      <c r="CM32" s="1361"/>
      <c r="CN32" s="1361"/>
      <c r="CO32" s="1361"/>
      <c r="CP32" s="1322"/>
      <c r="CQ32" s="1322"/>
      <c r="CR32" s="1322"/>
      <c r="CS32" s="1313"/>
      <c r="CT32" s="1315"/>
      <c r="CU32" s="602"/>
    </row>
    <row r="33" spans="1:99" s="379" customFormat="1" ht="30" hidden="1" customHeight="1" outlineLevel="1">
      <c r="A33" s="310"/>
      <c r="B33" s="247"/>
      <c r="C33" s="247"/>
      <c r="D33" s="612"/>
      <c r="E33" s="62"/>
      <c r="F33" s="247"/>
      <c r="G33" s="80"/>
      <c r="H33" s="80"/>
      <c r="I33" s="80"/>
      <c r="J33" s="65"/>
      <c r="K33" s="66"/>
      <c r="L33" s="67"/>
      <c r="M33" s="68"/>
      <c r="N33" s="68"/>
      <c r="O33" s="372"/>
      <c r="P33" s="70"/>
      <c r="Q33" s="70"/>
      <c r="R33" s="249"/>
      <c r="S33" s="64"/>
      <c r="T33" s="64"/>
      <c r="U33" s="64"/>
      <c r="V33" s="70"/>
      <c r="W33" s="70"/>
      <c r="X33" s="64"/>
      <c r="Y33" s="64"/>
      <c r="Z33" s="64"/>
      <c r="AA33" s="70"/>
      <c r="AB33" s="274" t="s">
        <v>93</v>
      </c>
      <c r="AC33" s="319"/>
      <c r="AD33" s="288"/>
      <c r="AE33" s="1728"/>
      <c r="AF33" s="78"/>
      <c r="AG33" s="74" t="str">
        <f>IF(S33="","",AF33*S33)</f>
        <v/>
      </c>
      <c r="AH33" s="276"/>
      <c r="AI33" s="254"/>
      <c r="AJ33" s="255"/>
      <c r="AK33" s="74"/>
      <c r="AL33" s="75"/>
      <c r="AM33" s="78"/>
      <c r="AN33" s="289"/>
      <c r="AO33" s="256"/>
      <c r="AP33" s="74"/>
      <c r="AQ33" s="112"/>
      <c r="AR33" s="247"/>
      <c r="AS33" s="247"/>
      <c r="AT33" s="247"/>
      <c r="AU33" s="317"/>
      <c r="AV33" s="387"/>
      <c r="AW33" s="448"/>
      <c r="AX33" s="311" t="str">
        <f>IF(AN33&lt;1,"-",AN33)</f>
        <v>-</v>
      </c>
      <c r="AY33" s="63" t="str">
        <f>IF(AX33="-","-",($B$2-AM33+1)*AX33)</f>
        <v>-</v>
      </c>
      <c r="AZ33" s="63" t="str">
        <f>IF(AX33="-","-",AX33-H33)</f>
        <v>-</v>
      </c>
      <c r="BA33" s="312" t="str">
        <f>IF(AX33="-","-",AX33/H33)</f>
        <v>-</v>
      </c>
      <c r="BB33" s="1317"/>
      <c r="BC33" s="1381"/>
      <c r="BD33" s="260"/>
      <c r="BE33" s="261"/>
      <c r="BF33" s="146"/>
      <c r="BG33" s="143"/>
      <c r="BH33" s="143"/>
      <c r="BI33" s="143"/>
      <c r="BJ33" s="143"/>
      <c r="BK33" s="143"/>
      <c r="BL33" s="145"/>
      <c r="BM33" s="262"/>
      <c r="BN33" s="263"/>
      <c r="BO33" s="931"/>
      <c r="BP33" s="1385">
        <f>AC33</f>
        <v>0</v>
      </c>
      <c r="BQ33" s="209"/>
      <c r="BR33" s="265"/>
      <c r="BS33" s="209"/>
      <c r="BT33" s="284">
        <f t="shared" ref="BT33:BT44" si="0">S33</f>
        <v>0</v>
      </c>
      <c r="BU33" s="214" t="str">
        <f t="shared" ref="BU33:BU44" si="1">AG33</f>
        <v/>
      </c>
      <c r="BV33" s="214" t="str">
        <f>IF(AE33&gt;$CC$7,S33,IF(AE33="перех",(S33),"-"))</f>
        <v>-</v>
      </c>
      <c r="BW33" s="101"/>
      <c r="BX33" s="102"/>
      <c r="BY33" s="103"/>
      <c r="BZ33" s="104"/>
      <c r="CA33" s="105"/>
      <c r="CB33" s="216"/>
      <c r="CC33" s="268"/>
      <c r="CD33" s="216"/>
      <c r="CE33" s="268"/>
      <c r="CF33" s="1383"/>
      <c r="CG33" s="659"/>
      <c r="CH33" s="1384"/>
      <c r="CI33" s="1384"/>
      <c r="CJ33" s="1384"/>
      <c r="CK33" s="1313">
        <f>IF($BP33&lt;=$B$1,T33-T33*CH33,T33)</f>
        <v>0</v>
      </c>
      <c r="CL33" s="1302">
        <f>IF($BP33&lt;=$B$1,S33-S33*CJ33,S33)</f>
        <v>0</v>
      </c>
      <c r="CM33" s="1321">
        <f>IF(CK33=0,M33-S33,($N33-$CK33)*$M33/$N33)</f>
        <v>0</v>
      </c>
      <c r="CN33" s="1321">
        <f>IF(CK33=0,0,-($CL33-$CK33*$M33/$N33))</f>
        <v>0</v>
      </c>
      <c r="CO33" s="1321">
        <f>CM33+CN33</f>
        <v>0</v>
      </c>
      <c r="CP33" s="1322">
        <v>8.0000000000000002E-3</v>
      </c>
      <c r="CQ33" s="1322">
        <v>1.7999999999999999E-2</v>
      </c>
      <c r="CR33" s="1322">
        <v>2.5999999999999999E-2</v>
      </c>
      <c r="CS33" s="1313">
        <f>IF($A33&lt;=$B$1,N33-N33*CP33,N33)</f>
        <v>0</v>
      </c>
      <c r="CT33" s="1302">
        <f>IF($A33&lt;=$B$1,M33-M33*CR33,M33)</f>
        <v>0</v>
      </c>
      <c r="CU33" s="700"/>
    </row>
    <row r="34" spans="1:99" ht="30" hidden="1" customHeight="1" outlineLevel="1">
      <c r="A34" s="59"/>
      <c r="B34" s="60"/>
      <c r="C34" s="247"/>
      <c r="D34" s="248"/>
      <c r="E34" s="248"/>
      <c r="F34" s="247"/>
      <c r="G34" s="64"/>
      <c r="H34" s="65"/>
      <c r="I34" s="65"/>
      <c r="J34" s="65"/>
      <c r="K34" s="629"/>
      <c r="L34" s="67"/>
      <c r="M34" s="68"/>
      <c r="N34" s="68"/>
      <c r="O34" s="272"/>
      <c r="P34" s="70"/>
      <c r="Q34" s="70"/>
      <c r="R34" s="249"/>
      <c r="S34" s="64"/>
      <c r="T34" s="70"/>
      <c r="U34" s="70"/>
      <c r="V34" s="70"/>
      <c r="W34" s="70"/>
      <c r="X34" s="64"/>
      <c r="Y34" s="70"/>
      <c r="Z34" s="70"/>
      <c r="AA34" s="70"/>
      <c r="AB34" s="274"/>
      <c r="AC34" s="76"/>
      <c r="AD34" s="381"/>
      <c r="AE34" s="1717"/>
      <c r="AF34" s="78"/>
      <c r="AG34" s="75" t="str">
        <f>IF(S34="","",AF34*S34)</f>
        <v/>
      </c>
      <c r="AH34" s="276"/>
      <c r="AI34" s="254"/>
      <c r="AJ34" s="254"/>
      <c r="AK34" s="74"/>
      <c r="AL34" s="75"/>
      <c r="AM34" s="78"/>
      <c r="AN34" s="289"/>
      <c r="AO34" s="256"/>
      <c r="AP34" s="81"/>
      <c r="AQ34" s="271"/>
      <c r="AR34" s="247"/>
      <c r="AS34" s="247"/>
      <c r="AT34" s="68"/>
      <c r="AU34" s="68"/>
      <c r="AV34" s="373"/>
      <c r="AW34" s="448"/>
      <c r="AX34" s="277"/>
      <c r="AY34" s="250"/>
      <c r="AZ34" s="85"/>
      <c r="BA34" s="85"/>
      <c r="BB34" s="1317"/>
      <c r="BC34" s="1413"/>
      <c r="BD34" s="375" t="s">
        <v>221</v>
      </c>
      <c r="BE34" s="382"/>
      <c r="BF34" s="91"/>
      <c r="BG34" s="91"/>
      <c r="BH34" s="91"/>
      <c r="BI34" s="91"/>
      <c r="BJ34" s="91"/>
      <c r="BK34" s="91"/>
      <c r="BL34" s="93"/>
      <c r="BM34" s="314"/>
      <c r="BN34" s="383"/>
      <c r="BO34" s="1414"/>
      <c r="BP34" s="1388">
        <f t="shared" ref="BP34:BP44" si="2">AC34</f>
        <v>0</v>
      </c>
      <c r="BQ34" s="99"/>
      <c r="BR34" s="132"/>
      <c r="BS34" s="99"/>
      <c r="BT34" s="284">
        <f t="shared" si="0"/>
        <v>0</v>
      </c>
      <c r="BU34" s="132" t="str">
        <f t="shared" si="1"/>
        <v/>
      </c>
      <c r="BV34" s="132"/>
      <c r="BW34" s="101"/>
      <c r="BX34" s="102"/>
      <c r="BY34" s="103"/>
      <c r="BZ34" s="125"/>
      <c r="CA34" s="105"/>
      <c r="CB34" s="106"/>
      <c r="CC34" s="107"/>
      <c r="CD34" s="108"/>
      <c r="CE34" s="377"/>
      <c r="CF34" s="1415" t="s">
        <v>94</v>
      </c>
      <c r="CG34" s="217"/>
      <c r="CH34" s="1312"/>
      <c r="CI34" s="1312"/>
      <c r="CJ34" s="1312"/>
      <c r="CK34" s="1313"/>
      <c r="CL34" s="1315"/>
      <c r="CM34" s="1361"/>
      <c r="CN34" s="1361"/>
      <c r="CO34" s="1361"/>
      <c r="CP34" s="1322"/>
      <c r="CQ34" s="1322"/>
      <c r="CR34" s="1322"/>
      <c r="CS34" s="1313"/>
      <c r="CT34" s="1315"/>
      <c r="CU34" s="602"/>
    </row>
    <row r="35" spans="1:99" s="379" customFormat="1" ht="30" hidden="1" customHeight="1" outlineLevel="1">
      <c r="A35" s="59"/>
      <c r="B35" s="247"/>
      <c r="C35" s="247"/>
      <c r="D35" s="248"/>
      <c r="E35" s="248"/>
      <c r="F35" s="247"/>
      <c r="G35" s="64"/>
      <c r="H35" s="65"/>
      <c r="I35" s="65"/>
      <c r="J35" s="65"/>
      <c r="K35" s="629"/>
      <c r="L35" s="67"/>
      <c r="M35" s="68"/>
      <c r="N35" s="252"/>
      <c r="O35" s="250"/>
      <c r="P35" s="70"/>
      <c r="Q35" s="70"/>
      <c r="R35" s="249"/>
      <c r="S35" s="64"/>
      <c r="T35" s="70"/>
      <c r="U35" s="64"/>
      <c r="V35" s="70"/>
      <c r="W35" s="70"/>
      <c r="X35" s="64"/>
      <c r="Y35" s="70"/>
      <c r="Z35" s="64"/>
      <c r="AA35" s="70"/>
      <c r="AB35" s="274"/>
      <c r="AC35" s="276"/>
      <c r="AD35" s="135"/>
      <c r="AE35" s="1717"/>
      <c r="AF35" s="78"/>
      <c r="AG35" s="75"/>
      <c r="AH35" s="276"/>
      <c r="AI35" s="77"/>
      <c r="AJ35" s="276"/>
      <c r="AK35" s="74"/>
      <c r="AL35" s="75"/>
      <c r="AM35" s="78"/>
      <c r="AN35" s="74"/>
      <c r="AO35" s="256"/>
      <c r="AP35" s="74"/>
      <c r="AQ35" s="65"/>
      <c r="AR35" s="80"/>
      <c r="AS35" s="247"/>
      <c r="AT35" s="247"/>
      <c r="AU35" s="68"/>
      <c r="AV35" s="387"/>
      <c r="AW35" s="83"/>
      <c r="AX35" s="277"/>
      <c r="AY35" s="250"/>
      <c r="AZ35" s="85"/>
      <c r="BA35" s="85"/>
      <c r="BB35" s="1317"/>
      <c r="BC35" s="1416"/>
      <c r="BD35" s="375" t="s">
        <v>222</v>
      </c>
      <c r="BE35" s="389" t="s">
        <v>223</v>
      </c>
      <c r="BF35" s="390"/>
      <c r="BG35" s="390"/>
      <c r="BH35" s="390"/>
      <c r="BI35" s="390"/>
      <c r="BJ35" s="390"/>
      <c r="BK35" s="390"/>
      <c r="BL35" s="390"/>
      <c r="BM35" s="391"/>
      <c r="BN35" s="392"/>
      <c r="BO35" s="1417"/>
      <c r="BP35" s="1388">
        <f t="shared" si="2"/>
        <v>0</v>
      </c>
      <c r="BQ35" s="99"/>
      <c r="BR35" s="132"/>
      <c r="BS35" s="99"/>
      <c r="BT35" s="385">
        <f t="shared" si="0"/>
        <v>0</v>
      </c>
      <c r="BU35" s="214">
        <f t="shared" si="1"/>
        <v>0</v>
      </c>
      <c r="BV35" s="214"/>
      <c r="BW35" s="101" t="e">
        <f>NA()</f>
        <v>#N/A</v>
      </c>
      <c r="BX35" s="102" t="e">
        <f>NA()</f>
        <v>#N/A</v>
      </c>
      <c r="BY35" s="103">
        <f>($D$1-AJ35)*AX35</f>
        <v>0</v>
      </c>
      <c r="BZ35" s="104" t="e">
        <f>IF(AM35&gt;0,"-",(AE35-BX35))</f>
        <v>#N/A</v>
      </c>
      <c r="CA35" s="105" t="e">
        <f>IF(AM35&gt;0,"-",(($D$1-BX35)*H35))</f>
        <v>#N/A</v>
      </c>
      <c r="CB35" s="106"/>
      <c r="CC35" s="107"/>
      <c r="CD35" s="108"/>
      <c r="CE35" s="109"/>
      <c r="CF35" s="860" t="s">
        <v>94</v>
      </c>
      <c r="CG35" s="657"/>
      <c r="CH35" s="1312"/>
      <c r="CI35" s="1312"/>
      <c r="CJ35" s="1312"/>
      <c r="CK35" s="1378"/>
      <c r="CL35" s="1378"/>
      <c r="CM35" s="1378"/>
      <c r="CN35" s="1378"/>
      <c r="CO35" s="1378"/>
      <c r="CP35" s="1322"/>
      <c r="CQ35" s="1322"/>
      <c r="CR35" s="1322"/>
      <c r="CS35" s="1378"/>
      <c r="CT35" s="1378"/>
      <c r="CU35" s="700"/>
    </row>
    <row r="36" spans="1:99" s="379" customFormat="1" ht="30" hidden="1" customHeight="1" outlineLevel="1">
      <c r="A36" s="386"/>
      <c r="B36" s="247"/>
      <c r="C36" s="247"/>
      <c r="D36" s="248"/>
      <c r="E36" s="248"/>
      <c r="F36" s="247"/>
      <c r="G36" s="64"/>
      <c r="H36" s="80"/>
      <c r="I36" s="80"/>
      <c r="J36" s="80"/>
      <c r="K36" s="271"/>
      <c r="L36" s="285"/>
      <c r="M36" s="68"/>
      <c r="N36" s="68"/>
      <c r="O36" s="70"/>
      <c r="P36" s="70"/>
      <c r="Q36" s="70"/>
      <c r="R36" s="249"/>
      <c r="S36" s="64"/>
      <c r="T36" s="70"/>
      <c r="U36" s="64"/>
      <c r="V36" s="70"/>
      <c r="W36" s="70"/>
      <c r="X36" s="64"/>
      <c r="Y36" s="70"/>
      <c r="Z36" s="64"/>
      <c r="AA36" s="70"/>
      <c r="AB36" s="274"/>
      <c r="AC36" s="76"/>
      <c r="AD36" s="381"/>
      <c r="AE36" s="1729"/>
      <c r="AF36" s="78"/>
      <c r="AG36" s="75"/>
      <c r="AH36" s="276"/>
      <c r="AI36" s="77"/>
      <c r="AJ36" s="77"/>
      <c r="AK36" s="74"/>
      <c r="AL36" s="75"/>
      <c r="AM36" s="78"/>
      <c r="AN36" s="74"/>
      <c r="AO36" s="256"/>
      <c r="AP36" s="81"/>
      <c r="AQ36" s="80"/>
      <c r="AR36" s="80"/>
      <c r="AS36" s="247"/>
      <c r="AT36" s="247"/>
      <c r="AU36" s="68"/>
      <c r="AV36" s="485"/>
      <c r="AW36" s="448"/>
      <c r="AX36" s="277"/>
      <c r="AY36" s="250"/>
      <c r="AZ36" s="85"/>
      <c r="BA36" s="85"/>
      <c r="BB36" s="1317"/>
      <c r="BC36" s="1413"/>
      <c r="BD36" s="375" t="s">
        <v>224</v>
      </c>
      <c r="BE36" s="867"/>
      <c r="BF36" s="93"/>
      <c r="BG36" s="93"/>
      <c r="BH36" s="93"/>
      <c r="BI36" s="93"/>
      <c r="BJ36" s="93"/>
      <c r="BK36" s="93"/>
      <c r="BL36" s="93"/>
      <c r="BM36" s="314"/>
      <c r="BN36" s="487"/>
      <c r="BO36" s="1418"/>
      <c r="BP36" s="1388">
        <f t="shared" si="2"/>
        <v>0</v>
      </c>
      <c r="BQ36" s="99"/>
      <c r="BR36" s="132"/>
      <c r="BS36" s="99"/>
      <c r="BT36" s="284">
        <f t="shared" si="0"/>
        <v>0</v>
      </c>
      <c r="BU36" s="214">
        <f t="shared" si="1"/>
        <v>0</v>
      </c>
      <c r="BV36" s="214"/>
      <c r="BW36" s="101"/>
      <c r="BX36" s="102"/>
      <c r="BY36" s="103"/>
      <c r="BZ36" s="104"/>
      <c r="CA36" s="105"/>
      <c r="CB36" s="106"/>
      <c r="CC36" s="107"/>
      <c r="CD36" s="108"/>
      <c r="CE36" s="377"/>
      <c r="CF36" s="1415" t="s">
        <v>94</v>
      </c>
      <c r="CG36" s="657"/>
      <c r="CH36" s="1312"/>
      <c r="CI36" s="1312"/>
      <c r="CJ36" s="1312"/>
      <c r="CK36" s="1379"/>
      <c r="CL36" s="1378"/>
      <c r="CM36" s="1379"/>
      <c r="CN36" s="1335"/>
      <c r="CO36" s="1379"/>
      <c r="CP36" s="1322"/>
      <c r="CQ36" s="1322"/>
      <c r="CR36" s="1322"/>
      <c r="CS36" s="1379"/>
      <c r="CT36" s="1378"/>
      <c r="CU36" s="700"/>
    </row>
    <row r="37" spans="1:99" ht="30" hidden="1" customHeight="1" outlineLevel="1">
      <c r="A37" s="386"/>
      <c r="B37" s="60"/>
      <c r="C37" s="247"/>
      <c r="D37" s="248"/>
      <c r="E37" s="248"/>
      <c r="F37" s="247"/>
      <c r="G37" s="64"/>
      <c r="H37" s="80"/>
      <c r="I37" s="80"/>
      <c r="J37" s="80"/>
      <c r="K37" s="271"/>
      <c r="L37" s="285"/>
      <c r="M37" s="68"/>
      <c r="N37" s="68"/>
      <c r="O37" s="70"/>
      <c r="P37" s="70"/>
      <c r="Q37" s="70"/>
      <c r="R37" s="249"/>
      <c r="S37" s="250"/>
      <c r="T37" s="70"/>
      <c r="U37" s="70"/>
      <c r="V37" s="70"/>
      <c r="W37" s="70"/>
      <c r="X37" s="250"/>
      <c r="Y37" s="70"/>
      <c r="Z37" s="70"/>
      <c r="AA37" s="70"/>
      <c r="AB37" s="274"/>
      <c r="AC37" s="76"/>
      <c r="AD37" s="381"/>
      <c r="AE37" s="1729"/>
      <c r="AF37" s="78"/>
      <c r="AG37" s="75"/>
      <c r="AH37" s="276"/>
      <c r="AI37" s="254"/>
      <c r="AJ37" s="254"/>
      <c r="AK37" s="74"/>
      <c r="AL37" s="75"/>
      <c r="AM37" s="78"/>
      <c r="AN37" s="289"/>
      <c r="AO37" s="256"/>
      <c r="AP37" s="81"/>
      <c r="AQ37" s="271"/>
      <c r="AR37" s="247"/>
      <c r="AS37" s="247"/>
      <c r="AT37" s="247"/>
      <c r="AU37" s="317"/>
      <c r="AV37" s="485"/>
      <c r="AW37" s="486"/>
      <c r="AX37" s="277"/>
      <c r="AY37" s="250"/>
      <c r="AZ37" s="85"/>
      <c r="BA37" s="85"/>
      <c r="BB37" s="1317"/>
      <c r="BC37" s="1413"/>
      <c r="BD37" s="375"/>
      <c r="BE37" s="867"/>
      <c r="BF37" s="93"/>
      <c r="BG37" s="93"/>
      <c r="BH37" s="93"/>
      <c r="BI37" s="93"/>
      <c r="BJ37" s="93"/>
      <c r="BK37" s="93"/>
      <c r="BL37" s="93"/>
      <c r="BM37" s="314"/>
      <c r="BN37" s="487"/>
      <c r="BO37" s="1418"/>
      <c r="BP37" s="1388">
        <f t="shared" si="2"/>
        <v>0</v>
      </c>
      <c r="BQ37" s="99"/>
      <c r="BR37" s="132"/>
      <c r="BS37" s="99"/>
      <c r="BT37" s="284">
        <f t="shared" si="0"/>
        <v>0</v>
      </c>
      <c r="BU37" s="214">
        <f t="shared" si="1"/>
        <v>0</v>
      </c>
      <c r="BV37" s="214"/>
      <c r="BW37" s="101"/>
      <c r="BX37" s="102"/>
      <c r="BY37" s="103"/>
      <c r="BZ37" s="104"/>
      <c r="CA37" s="105"/>
      <c r="CB37" s="106"/>
      <c r="CC37" s="107"/>
      <c r="CD37" s="108"/>
      <c r="CE37" s="377"/>
      <c r="CF37" s="1415" t="s">
        <v>94</v>
      </c>
      <c r="CG37" s="602"/>
      <c r="CH37" s="1312"/>
      <c r="CI37" s="1312"/>
      <c r="CJ37" s="1312"/>
      <c r="CK37" s="1313"/>
      <c r="CL37" s="1315"/>
      <c r="CM37" s="1361"/>
      <c r="CN37" s="1361"/>
      <c r="CO37" s="1361"/>
      <c r="CP37" s="1322"/>
      <c r="CQ37" s="1322"/>
      <c r="CR37" s="1322"/>
      <c r="CS37" s="1313"/>
      <c r="CT37" s="1315"/>
      <c r="CU37" s="602"/>
    </row>
    <row r="38" spans="1:99" s="379" customFormat="1" ht="30" hidden="1" customHeight="1" outlineLevel="1">
      <c r="A38" s="386"/>
      <c r="B38" s="247"/>
      <c r="C38" s="247"/>
      <c r="D38" s="248"/>
      <c r="E38" s="248"/>
      <c r="F38" s="247"/>
      <c r="G38" s="64"/>
      <c r="H38" s="80"/>
      <c r="I38" s="80"/>
      <c r="J38" s="80"/>
      <c r="K38" s="271"/>
      <c r="L38" s="285"/>
      <c r="M38" s="68"/>
      <c r="N38" s="68"/>
      <c r="O38" s="70"/>
      <c r="P38" s="70"/>
      <c r="Q38" s="70"/>
      <c r="R38" s="249"/>
      <c r="S38" s="64"/>
      <c r="T38" s="70"/>
      <c r="U38" s="64"/>
      <c r="V38" s="70"/>
      <c r="W38" s="70"/>
      <c r="X38" s="64"/>
      <c r="Y38" s="70"/>
      <c r="Z38" s="64"/>
      <c r="AA38" s="70"/>
      <c r="AB38" s="274"/>
      <c r="AC38" s="76"/>
      <c r="AD38" s="381"/>
      <c r="AE38" s="1729"/>
      <c r="AF38" s="78"/>
      <c r="AG38" s="75"/>
      <c r="AH38" s="276"/>
      <c r="AI38" s="77"/>
      <c r="AJ38" s="77"/>
      <c r="AK38" s="74"/>
      <c r="AL38" s="75"/>
      <c r="AM38" s="78"/>
      <c r="AN38" s="74"/>
      <c r="AO38" s="256"/>
      <c r="AP38" s="81"/>
      <c r="AQ38" s="80"/>
      <c r="AR38" s="80"/>
      <c r="AS38" s="247"/>
      <c r="AT38" s="247"/>
      <c r="AU38" s="68"/>
      <c r="AV38" s="485"/>
      <c r="AW38" s="486"/>
      <c r="AX38" s="277"/>
      <c r="AY38" s="250"/>
      <c r="AZ38" s="85"/>
      <c r="BA38" s="85"/>
      <c r="BB38" s="1317"/>
      <c r="BC38" s="1413"/>
      <c r="BD38" s="375"/>
      <c r="BE38" s="867"/>
      <c r="BF38" s="93"/>
      <c r="BG38" s="93"/>
      <c r="BH38" s="93"/>
      <c r="BI38" s="93"/>
      <c r="BJ38" s="93"/>
      <c r="BK38" s="93"/>
      <c r="BL38" s="93"/>
      <c r="BM38" s="314"/>
      <c r="BN38" s="487"/>
      <c r="BO38" s="1418"/>
      <c r="BP38" s="1388">
        <f t="shared" si="2"/>
        <v>0</v>
      </c>
      <c r="BQ38" s="99"/>
      <c r="BR38" s="132"/>
      <c r="BS38" s="99"/>
      <c r="BT38" s="284">
        <f t="shared" si="0"/>
        <v>0</v>
      </c>
      <c r="BU38" s="214">
        <f t="shared" si="1"/>
        <v>0</v>
      </c>
      <c r="BV38" s="214"/>
      <c r="BW38" s="101"/>
      <c r="BX38" s="102"/>
      <c r="BY38" s="103"/>
      <c r="BZ38" s="104"/>
      <c r="CA38" s="105"/>
      <c r="CB38" s="106"/>
      <c r="CC38" s="107"/>
      <c r="CD38" s="108"/>
      <c r="CE38" s="377"/>
      <c r="CF38" s="1415" t="s">
        <v>94</v>
      </c>
      <c r="CG38" s="217"/>
      <c r="CH38" s="1312"/>
      <c r="CI38" s="1312"/>
      <c r="CJ38" s="1312"/>
      <c r="CK38" s="1313"/>
      <c r="CL38" s="1315"/>
      <c r="CM38" s="1361"/>
      <c r="CN38" s="1361"/>
      <c r="CO38" s="1361"/>
      <c r="CP38" s="1322"/>
      <c r="CQ38" s="1322"/>
      <c r="CR38" s="1322"/>
      <c r="CS38" s="1313"/>
      <c r="CT38" s="1315"/>
      <c r="CU38" s="700"/>
    </row>
    <row r="39" spans="1:99" s="379" customFormat="1" ht="30" hidden="1" customHeight="1" outlineLevel="1">
      <c r="A39" s="386"/>
      <c r="B39" s="247"/>
      <c r="C39" s="247"/>
      <c r="D39" s="248"/>
      <c r="E39" s="248"/>
      <c r="F39" s="247"/>
      <c r="G39" s="64"/>
      <c r="H39" s="80"/>
      <c r="I39" s="80"/>
      <c r="J39" s="80"/>
      <c r="K39" s="271"/>
      <c r="L39" s="285"/>
      <c r="M39" s="68"/>
      <c r="N39" s="68"/>
      <c r="O39" s="70"/>
      <c r="P39" s="70"/>
      <c r="Q39" s="70"/>
      <c r="R39" s="249"/>
      <c r="S39" s="64"/>
      <c r="T39" s="70"/>
      <c r="U39" s="64"/>
      <c r="V39" s="70"/>
      <c r="W39" s="70"/>
      <c r="X39" s="64"/>
      <c r="Y39" s="70"/>
      <c r="Z39" s="64"/>
      <c r="AA39" s="70"/>
      <c r="AB39" s="274"/>
      <c r="AC39" s="76"/>
      <c r="AD39" s="381"/>
      <c r="AE39" s="1729"/>
      <c r="AF39" s="78"/>
      <c r="AG39" s="75"/>
      <c r="AH39" s="276"/>
      <c r="AI39" s="77"/>
      <c r="AJ39" s="77"/>
      <c r="AK39" s="74"/>
      <c r="AL39" s="75"/>
      <c r="AM39" s="78"/>
      <c r="AN39" s="74"/>
      <c r="AO39" s="256"/>
      <c r="AP39" s="81"/>
      <c r="AQ39" s="80"/>
      <c r="AR39" s="80"/>
      <c r="AS39" s="247"/>
      <c r="AT39" s="247"/>
      <c r="AU39" s="68"/>
      <c r="AV39" s="485"/>
      <c r="AW39" s="486"/>
      <c r="AX39" s="277"/>
      <c r="AY39" s="250"/>
      <c r="AZ39" s="85"/>
      <c r="BA39" s="85"/>
      <c r="BB39" s="1317"/>
      <c r="BC39" s="1413"/>
      <c r="BD39" s="375"/>
      <c r="BE39" s="867"/>
      <c r="BF39" s="93"/>
      <c r="BG39" s="93"/>
      <c r="BH39" s="93"/>
      <c r="BI39" s="93"/>
      <c r="BJ39" s="93"/>
      <c r="BK39" s="93"/>
      <c r="BL39" s="93"/>
      <c r="BM39" s="314"/>
      <c r="BN39" s="487"/>
      <c r="BO39" s="1418"/>
      <c r="BP39" s="1388">
        <f t="shared" si="2"/>
        <v>0</v>
      </c>
      <c r="BQ39" s="99"/>
      <c r="BR39" s="132"/>
      <c r="BS39" s="99"/>
      <c r="BT39" s="284">
        <f t="shared" si="0"/>
        <v>0</v>
      </c>
      <c r="BU39" s="214">
        <f t="shared" si="1"/>
        <v>0</v>
      </c>
      <c r="BV39" s="214"/>
      <c r="BW39" s="101"/>
      <c r="BX39" s="102"/>
      <c r="BY39" s="103"/>
      <c r="BZ39" s="104"/>
      <c r="CA39" s="105"/>
      <c r="CB39" s="106"/>
      <c r="CC39" s="107"/>
      <c r="CD39" s="108"/>
      <c r="CE39" s="377"/>
      <c r="CF39" s="1415" t="s">
        <v>94</v>
      </c>
      <c r="CG39" s="217"/>
      <c r="CH39" s="1312"/>
      <c r="CI39" s="1312"/>
      <c r="CJ39" s="1312"/>
      <c r="CK39" s="1313"/>
      <c r="CL39" s="1315"/>
      <c r="CM39" s="1361"/>
      <c r="CN39" s="1361"/>
      <c r="CO39" s="1361"/>
      <c r="CP39" s="1322"/>
      <c r="CQ39" s="1322"/>
      <c r="CR39" s="1322"/>
      <c r="CS39" s="1313"/>
      <c r="CT39" s="1315"/>
      <c r="CU39" s="700"/>
    </row>
    <row r="40" spans="1:99" s="379" customFormat="1" ht="30" hidden="1" customHeight="1" outlineLevel="1">
      <c r="A40" s="386"/>
      <c r="B40" s="247"/>
      <c r="C40" s="247"/>
      <c r="D40" s="248"/>
      <c r="E40" s="248"/>
      <c r="F40" s="247"/>
      <c r="G40" s="64"/>
      <c r="H40" s="80"/>
      <c r="I40" s="80"/>
      <c r="J40" s="80"/>
      <c r="K40" s="271"/>
      <c r="L40" s="285"/>
      <c r="M40" s="68"/>
      <c r="N40" s="68"/>
      <c r="O40" s="70"/>
      <c r="P40" s="70"/>
      <c r="Q40" s="70"/>
      <c r="R40" s="249"/>
      <c r="S40" s="64"/>
      <c r="T40" s="70"/>
      <c r="U40" s="64"/>
      <c r="V40" s="70"/>
      <c r="W40" s="70"/>
      <c r="X40" s="64"/>
      <c r="Y40" s="70"/>
      <c r="Z40" s="64"/>
      <c r="AA40" s="70"/>
      <c r="AB40" s="274"/>
      <c r="AC40" s="76"/>
      <c r="AD40" s="381"/>
      <c r="AE40" s="1729"/>
      <c r="AF40" s="78"/>
      <c r="AG40" s="75"/>
      <c r="AH40" s="276"/>
      <c r="AI40" s="77"/>
      <c r="AJ40" s="77"/>
      <c r="AK40" s="74"/>
      <c r="AL40" s="75"/>
      <c r="AM40" s="78"/>
      <c r="AN40" s="74"/>
      <c r="AO40" s="256"/>
      <c r="AP40" s="81"/>
      <c r="AQ40" s="80"/>
      <c r="AR40" s="80"/>
      <c r="AS40" s="247"/>
      <c r="AT40" s="247"/>
      <c r="AU40" s="68"/>
      <c r="AV40" s="485"/>
      <c r="AW40" s="486"/>
      <c r="AX40" s="277"/>
      <c r="AY40" s="250"/>
      <c r="AZ40" s="85"/>
      <c r="BA40" s="85"/>
      <c r="BB40" s="1317"/>
      <c r="BC40" s="1413"/>
      <c r="BD40" s="375"/>
      <c r="BE40" s="867"/>
      <c r="BF40" s="93"/>
      <c r="BG40" s="93"/>
      <c r="BH40" s="93"/>
      <c r="BI40" s="93"/>
      <c r="BJ40" s="93"/>
      <c r="BK40" s="93"/>
      <c r="BL40" s="93"/>
      <c r="BM40" s="314"/>
      <c r="BN40" s="487"/>
      <c r="BO40" s="1418"/>
      <c r="BP40" s="1388">
        <f t="shared" si="2"/>
        <v>0</v>
      </c>
      <c r="BQ40" s="99"/>
      <c r="BR40" s="132"/>
      <c r="BS40" s="99"/>
      <c r="BT40" s="284">
        <f t="shared" si="0"/>
        <v>0</v>
      </c>
      <c r="BU40" s="214">
        <f t="shared" si="1"/>
        <v>0</v>
      </c>
      <c r="BV40" s="214"/>
      <c r="BW40" s="101"/>
      <c r="BX40" s="102"/>
      <c r="BY40" s="103"/>
      <c r="BZ40" s="104"/>
      <c r="CA40" s="105"/>
      <c r="CB40" s="106"/>
      <c r="CC40" s="107"/>
      <c r="CD40" s="108"/>
      <c r="CE40" s="377"/>
      <c r="CF40" s="1415" t="s">
        <v>94</v>
      </c>
      <c r="CG40" s="217"/>
      <c r="CH40" s="1312"/>
      <c r="CI40" s="1312"/>
      <c r="CJ40" s="1312"/>
      <c r="CK40" s="1313"/>
      <c r="CL40" s="1315"/>
      <c r="CM40" s="1361"/>
      <c r="CN40" s="1361"/>
      <c r="CO40" s="1361"/>
      <c r="CP40" s="1322"/>
      <c r="CQ40" s="1322"/>
      <c r="CR40" s="1322"/>
      <c r="CS40" s="1313"/>
      <c r="CT40" s="1315"/>
      <c r="CU40" s="700"/>
    </row>
    <row r="41" spans="1:99" s="379" customFormat="1" ht="30" hidden="1" customHeight="1" outlineLevel="1">
      <c r="A41" s="386"/>
      <c r="B41" s="247"/>
      <c r="C41" s="247"/>
      <c r="D41" s="248"/>
      <c r="E41" s="248"/>
      <c r="F41" s="247"/>
      <c r="G41" s="64"/>
      <c r="H41" s="80"/>
      <c r="I41" s="80"/>
      <c r="J41" s="80"/>
      <c r="K41" s="271"/>
      <c r="L41" s="285"/>
      <c r="M41" s="68"/>
      <c r="N41" s="68"/>
      <c r="O41" s="70"/>
      <c r="P41" s="70"/>
      <c r="Q41" s="70"/>
      <c r="R41" s="249"/>
      <c r="S41" s="64"/>
      <c r="T41" s="70"/>
      <c r="U41" s="64"/>
      <c r="V41" s="70"/>
      <c r="W41" s="70"/>
      <c r="X41" s="64"/>
      <c r="Y41" s="70"/>
      <c r="Z41" s="64"/>
      <c r="AA41" s="70"/>
      <c r="AB41" s="274"/>
      <c r="AC41" s="76"/>
      <c r="AD41" s="381"/>
      <c r="AE41" s="1729"/>
      <c r="AF41" s="78"/>
      <c r="AG41" s="75"/>
      <c r="AH41" s="276"/>
      <c r="AI41" s="77"/>
      <c r="AJ41" s="77"/>
      <c r="AK41" s="74"/>
      <c r="AL41" s="75"/>
      <c r="AM41" s="78"/>
      <c r="AN41" s="74"/>
      <c r="AO41" s="256"/>
      <c r="AP41" s="81"/>
      <c r="AQ41" s="80"/>
      <c r="AR41" s="80"/>
      <c r="AS41" s="247"/>
      <c r="AT41" s="247"/>
      <c r="AU41" s="68"/>
      <c r="AV41" s="485"/>
      <c r="AW41" s="486"/>
      <c r="AX41" s="277"/>
      <c r="AY41" s="250"/>
      <c r="AZ41" s="85"/>
      <c r="BA41" s="85"/>
      <c r="BB41" s="1317"/>
      <c r="BC41" s="1413"/>
      <c r="BD41" s="375"/>
      <c r="BE41" s="867"/>
      <c r="BF41" s="93"/>
      <c r="BG41" s="93"/>
      <c r="BH41" s="93"/>
      <c r="BI41" s="93"/>
      <c r="BJ41" s="93"/>
      <c r="BK41" s="93"/>
      <c r="BL41" s="93"/>
      <c r="BM41" s="314"/>
      <c r="BN41" s="487"/>
      <c r="BO41" s="1418"/>
      <c r="BP41" s="1388">
        <f t="shared" si="2"/>
        <v>0</v>
      </c>
      <c r="BQ41" s="99"/>
      <c r="BR41" s="132"/>
      <c r="BS41" s="99"/>
      <c r="BT41" s="284">
        <f t="shared" si="0"/>
        <v>0</v>
      </c>
      <c r="BU41" s="214">
        <f t="shared" si="1"/>
        <v>0</v>
      </c>
      <c r="BV41" s="214"/>
      <c r="BW41" s="101"/>
      <c r="BX41" s="102"/>
      <c r="BY41" s="103"/>
      <c r="BZ41" s="104"/>
      <c r="CA41" s="105"/>
      <c r="CB41" s="106"/>
      <c r="CC41" s="107"/>
      <c r="CD41" s="108"/>
      <c r="CE41" s="377"/>
      <c r="CF41" s="1415" t="s">
        <v>94</v>
      </c>
      <c r="CG41" s="657"/>
      <c r="CH41" s="1312"/>
      <c r="CI41" s="1312"/>
      <c r="CJ41" s="1312"/>
      <c r="CK41" s="1378"/>
      <c r="CL41" s="1378"/>
      <c r="CM41" s="1378"/>
      <c r="CN41" s="1378"/>
      <c r="CO41" s="1378"/>
      <c r="CP41" s="1322"/>
      <c r="CQ41" s="1322"/>
      <c r="CR41" s="1322"/>
      <c r="CS41" s="1378"/>
      <c r="CT41" s="1378"/>
      <c r="CU41" s="700"/>
    </row>
    <row r="42" spans="1:99" ht="30" hidden="1" customHeight="1" outlineLevel="1">
      <c r="A42" s="386"/>
      <c r="B42" s="60"/>
      <c r="C42" s="247"/>
      <c r="D42" s="248"/>
      <c r="E42" s="248"/>
      <c r="F42" s="247"/>
      <c r="G42" s="64"/>
      <c r="H42" s="80"/>
      <c r="I42" s="80"/>
      <c r="J42" s="80"/>
      <c r="K42" s="271"/>
      <c r="L42" s="270"/>
      <c r="M42" s="68"/>
      <c r="N42" s="252"/>
      <c r="O42" s="70"/>
      <c r="P42" s="70"/>
      <c r="Q42" s="70"/>
      <c r="R42" s="249"/>
      <c r="S42" s="64"/>
      <c r="T42" s="70"/>
      <c r="U42" s="70"/>
      <c r="V42" s="70"/>
      <c r="W42" s="70"/>
      <c r="X42" s="64"/>
      <c r="Y42" s="70"/>
      <c r="Z42" s="70"/>
      <c r="AA42" s="70"/>
      <c r="AB42" s="274"/>
      <c r="AC42" s="276"/>
      <c r="AD42" s="275"/>
      <c r="AE42" s="1730"/>
      <c r="AF42" s="78"/>
      <c r="AG42" s="75"/>
      <c r="AH42" s="276"/>
      <c r="AI42" s="254"/>
      <c r="AJ42" s="255"/>
      <c r="AK42" s="74"/>
      <c r="AL42" s="75"/>
      <c r="AM42" s="78"/>
      <c r="AN42" s="289"/>
      <c r="AO42" s="256"/>
      <c r="AP42" s="74"/>
      <c r="AQ42" s="66"/>
      <c r="AR42" s="247"/>
      <c r="AS42" s="247"/>
      <c r="AT42" s="247"/>
      <c r="AU42" s="317"/>
      <c r="AV42" s="387"/>
      <c r="AW42" s="448"/>
      <c r="AX42" s="277"/>
      <c r="AY42" s="250"/>
      <c r="AZ42" s="85"/>
      <c r="BA42" s="85"/>
      <c r="BB42" s="1317"/>
      <c r="BC42" s="1416"/>
      <c r="BD42" s="375"/>
      <c r="BE42" s="449"/>
      <c r="BF42" s="450"/>
      <c r="BG42" s="450"/>
      <c r="BH42" s="450"/>
      <c r="BI42" s="450"/>
      <c r="BJ42" s="450"/>
      <c r="BK42" s="450"/>
      <c r="BL42" s="390"/>
      <c r="BM42" s="391"/>
      <c r="BN42" s="451"/>
      <c r="BO42" s="1419"/>
      <c r="BP42" s="1388">
        <f t="shared" si="2"/>
        <v>0</v>
      </c>
      <c r="BQ42" s="99"/>
      <c r="BR42" s="132"/>
      <c r="BS42" s="99"/>
      <c r="BT42" s="284">
        <f t="shared" si="0"/>
        <v>0</v>
      </c>
      <c r="BU42" s="132">
        <f t="shared" si="1"/>
        <v>0</v>
      </c>
      <c r="BV42" s="132"/>
      <c r="BW42" s="101"/>
      <c r="BX42" s="102"/>
      <c r="BY42" s="103"/>
      <c r="BZ42" s="125"/>
      <c r="CA42" s="105"/>
      <c r="CB42" s="106"/>
      <c r="CC42" s="107"/>
      <c r="CD42" s="108"/>
      <c r="CE42" s="109"/>
      <c r="CF42" s="860" t="s">
        <v>94</v>
      </c>
      <c r="CG42" s="657"/>
      <c r="CH42" s="1312"/>
      <c r="CI42" s="1312"/>
      <c r="CJ42" s="1312"/>
      <c r="CK42" s="1379"/>
      <c r="CL42" s="1378"/>
      <c r="CM42" s="1379"/>
      <c r="CN42" s="1335"/>
      <c r="CO42" s="1379"/>
      <c r="CP42" s="1322"/>
      <c r="CQ42" s="1322"/>
      <c r="CR42" s="1322"/>
      <c r="CS42" s="1379"/>
      <c r="CT42" s="1378"/>
      <c r="CU42" s="602"/>
    </row>
    <row r="43" spans="1:99" ht="30" hidden="1" customHeight="1" outlineLevel="1">
      <c r="A43" s="386"/>
      <c r="B43" s="247"/>
      <c r="C43" s="247"/>
      <c r="D43" s="248"/>
      <c r="E43" s="248"/>
      <c r="F43" s="247"/>
      <c r="G43" s="64"/>
      <c r="H43" s="80"/>
      <c r="I43" s="80"/>
      <c r="J43" s="80"/>
      <c r="K43" s="271"/>
      <c r="L43" s="453"/>
      <c r="M43" s="68"/>
      <c r="N43" s="252"/>
      <c r="O43" s="70"/>
      <c r="P43" s="70"/>
      <c r="Q43" s="70"/>
      <c r="R43" s="249"/>
      <c r="S43" s="250"/>
      <c r="T43" s="70"/>
      <c r="U43" s="70"/>
      <c r="V43" s="70"/>
      <c r="W43" s="70"/>
      <c r="X43" s="250"/>
      <c r="Y43" s="70"/>
      <c r="Z43" s="70"/>
      <c r="AA43" s="70"/>
      <c r="AB43" s="274"/>
      <c r="AC43" s="276"/>
      <c r="AD43" s="454"/>
      <c r="AE43" s="1728"/>
      <c r="AF43" s="78"/>
      <c r="AG43" s="75"/>
      <c r="AH43" s="276"/>
      <c r="AI43" s="254"/>
      <c r="AJ43" s="255"/>
      <c r="AK43" s="74"/>
      <c r="AL43" s="75"/>
      <c r="AM43" s="78"/>
      <c r="AN43" s="289"/>
      <c r="AO43" s="256"/>
      <c r="AP43" s="74"/>
      <c r="AQ43" s="112"/>
      <c r="AR43" s="247"/>
      <c r="AS43" s="247"/>
      <c r="AT43" s="247"/>
      <c r="AU43" s="317"/>
      <c r="AV43" s="387"/>
      <c r="AW43" s="83"/>
      <c r="AX43" s="277"/>
      <c r="AY43" s="250"/>
      <c r="AZ43" s="85"/>
      <c r="BA43" s="85"/>
      <c r="BB43" s="1317"/>
      <c r="BC43" s="933"/>
      <c r="BD43" s="375"/>
      <c r="BE43" s="456"/>
      <c r="BF43" s="450"/>
      <c r="BG43" s="450"/>
      <c r="BH43" s="450"/>
      <c r="BI43" s="450"/>
      <c r="BJ43" s="390"/>
      <c r="BK43" s="390"/>
      <c r="BL43" s="450"/>
      <c r="BM43" s="457"/>
      <c r="BN43" s="457"/>
      <c r="BO43" s="1420"/>
      <c r="BP43" s="1388">
        <f t="shared" si="2"/>
        <v>0</v>
      </c>
      <c r="BQ43" s="99"/>
      <c r="BR43" s="132"/>
      <c r="BS43" s="99"/>
      <c r="BT43" s="385">
        <f t="shared" si="0"/>
        <v>0</v>
      </c>
      <c r="BU43" s="214">
        <f t="shared" si="1"/>
        <v>0</v>
      </c>
      <c r="BV43" s="214"/>
      <c r="BW43" s="101"/>
      <c r="BX43" s="102"/>
      <c r="BY43" s="103"/>
      <c r="BZ43" s="104"/>
      <c r="CA43" s="105"/>
      <c r="CB43" s="106"/>
      <c r="CC43" s="107"/>
      <c r="CD43" s="108"/>
      <c r="CE43" s="109"/>
      <c r="CF43" s="860"/>
      <c r="CG43" s="602"/>
      <c r="CH43" s="1312"/>
      <c r="CI43" s="1312"/>
      <c r="CJ43" s="1312"/>
      <c r="CK43" s="1313"/>
      <c r="CL43" s="1315"/>
      <c r="CM43" s="1361"/>
      <c r="CN43" s="1361"/>
      <c r="CO43" s="1361"/>
      <c r="CP43" s="1322"/>
      <c r="CQ43" s="1322"/>
      <c r="CR43" s="1322"/>
      <c r="CS43" s="1313"/>
      <c r="CT43" s="1315"/>
      <c r="CU43" s="602"/>
    </row>
    <row r="44" spans="1:99" ht="30" hidden="1" customHeight="1" outlineLevel="1">
      <c r="A44" s="386"/>
      <c r="B44" s="60"/>
      <c r="C44" s="247"/>
      <c r="D44" s="248"/>
      <c r="E44" s="248"/>
      <c r="F44" s="247"/>
      <c r="G44" s="64"/>
      <c r="H44" s="80"/>
      <c r="I44" s="80"/>
      <c r="J44" s="80"/>
      <c r="K44" s="271"/>
      <c r="L44" s="270"/>
      <c r="M44" s="68"/>
      <c r="N44" s="252"/>
      <c r="O44" s="70"/>
      <c r="P44" s="70"/>
      <c r="Q44" s="70"/>
      <c r="R44" s="249"/>
      <c r="S44" s="64"/>
      <c r="T44" s="70"/>
      <c r="U44" s="70"/>
      <c r="V44" s="70"/>
      <c r="W44" s="70"/>
      <c r="X44" s="64"/>
      <c r="Y44" s="70"/>
      <c r="Z44" s="70"/>
      <c r="AA44" s="70"/>
      <c r="AB44" s="274"/>
      <c r="AC44" s="276"/>
      <c r="AD44" s="275"/>
      <c r="AE44" s="1730"/>
      <c r="AF44" s="78"/>
      <c r="AG44" s="75"/>
      <c r="AH44" s="276"/>
      <c r="AI44" s="254"/>
      <c r="AJ44" s="255"/>
      <c r="AK44" s="74"/>
      <c r="AL44" s="75"/>
      <c r="AM44" s="78"/>
      <c r="AN44" s="289"/>
      <c r="AO44" s="256"/>
      <c r="AP44" s="74"/>
      <c r="AQ44" s="66"/>
      <c r="AR44" s="247"/>
      <c r="AS44" s="247"/>
      <c r="AT44" s="247"/>
      <c r="AU44" s="317"/>
      <c r="AV44" s="387"/>
      <c r="AW44" s="448"/>
      <c r="AX44" s="277"/>
      <c r="AY44" s="250"/>
      <c r="AZ44" s="85"/>
      <c r="BA44" s="85"/>
      <c r="BB44" s="1317"/>
      <c r="BC44" s="1416"/>
      <c r="BD44" s="375"/>
      <c r="BE44" s="449"/>
      <c r="BF44" s="450"/>
      <c r="BG44" s="450"/>
      <c r="BH44" s="450"/>
      <c r="BI44" s="450"/>
      <c r="BJ44" s="450"/>
      <c r="BK44" s="450"/>
      <c r="BL44" s="390"/>
      <c r="BM44" s="391"/>
      <c r="BN44" s="451"/>
      <c r="BO44" s="1419"/>
      <c r="BP44" s="1388">
        <f t="shared" si="2"/>
        <v>0</v>
      </c>
      <c r="BQ44" s="99"/>
      <c r="BR44" s="132"/>
      <c r="BS44" s="99"/>
      <c r="BT44" s="284">
        <f t="shared" si="0"/>
        <v>0</v>
      </c>
      <c r="BU44" s="132">
        <f t="shared" si="1"/>
        <v>0</v>
      </c>
      <c r="BV44" s="132"/>
      <c r="BW44" s="101"/>
      <c r="BX44" s="102"/>
      <c r="BY44" s="103"/>
      <c r="BZ44" s="125"/>
      <c r="CA44" s="105"/>
      <c r="CB44" s="106"/>
      <c r="CC44" s="107"/>
      <c r="CD44" s="108"/>
      <c r="CE44" s="109"/>
      <c r="CF44" s="860"/>
      <c r="CG44" s="659"/>
      <c r="CH44" s="1312"/>
      <c r="CI44" s="1312"/>
      <c r="CJ44" s="1312"/>
      <c r="CK44" s="1313"/>
      <c r="CL44" s="1315"/>
      <c r="CM44" s="1361"/>
      <c r="CN44" s="1361"/>
      <c r="CO44" s="1361"/>
      <c r="CP44" s="1322"/>
      <c r="CQ44" s="1322"/>
      <c r="CR44" s="1322"/>
      <c r="CS44" s="1313"/>
      <c r="CT44" s="1315"/>
      <c r="CU44" s="602"/>
    </row>
    <row r="45" spans="1:99" ht="30" hidden="1" customHeight="1" outlineLevel="1">
      <c r="A45" s="148" t="s">
        <v>86</v>
      </c>
      <c r="B45" s="149">
        <f>COUNTIF(A33:A44,$B$1)</f>
        <v>0</v>
      </c>
      <c r="C45" s="150"/>
      <c r="D45" s="151"/>
      <c r="E45" s="151"/>
      <c r="F45" s="151"/>
      <c r="G45" s="160"/>
      <c r="H45" s="152">
        <f>SUMIF(A33:A44,$B$1,H33:H44)</f>
        <v>0</v>
      </c>
      <c r="I45" s="152">
        <f>SUMIF(A33:A44,$B$1,I33:I44)</f>
        <v>0</v>
      </c>
      <c r="J45" s="152"/>
      <c r="K45" s="152"/>
      <c r="L45" s="152">
        <f>SUMIF(A33:A44,$B$1,L33:L44)</f>
        <v>0</v>
      </c>
      <c r="M45" s="152">
        <f>SUMIF(A33:A44,$B$1,M33:M44)</f>
        <v>0</v>
      </c>
      <c r="N45" s="152"/>
      <c r="O45" s="152"/>
      <c r="P45" s="152"/>
      <c r="Q45" s="152"/>
      <c r="R45" s="152"/>
      <c r="S45" s="152"/>
      <c r="T45" s="152"/>
      <c r="U45" s="151"/>
      <c r="V45" s="151"/>
      <c r="W45" s="151"/>
      <c r="X45" s="152"/>
      <c r="Y45" s="152"/>
      <c r="Z45" s="151"/>
      <c r="AA45" s="151"/>
      <c r="AB45" s="151"/>
      <c r="AC45" s="154"/>
      <c r="AD45" s="155"/>
      <c r="AE45" s="1718"/>
      <c r="AF45" s="158"/>
      <c r="AG45" s="157"/>
      <c r="AH45" s="730"/>
      <c r="AI45" s="156"/>
      <c r="AJ45" s="156"/>
      <c r="AK45" s="152"/>
      <c r="AL45" s="157"/>
      <c r="AM45" s="297">
        <f>COUNTA(AM33:AM44)</f>
        <v>0</v>
      </c>
      <c r="AN45" s="152">
        <f>SUM(AN33:AN44)</f>
        <v>0</v>
      </c>
      <c r="AO45" s="152">
        <f>SUM(AO33:AO44)</f>
        <v>0</v>
      </c>
      <c r="AP45" s="161"/>
      <c r="AQ45" s="151"/>
      <c r="AR45" s="151"/>
      <c r="AS45" s="151"/>
      <c r="AT45" s="151"/>
      <c r="AU45" s="151"/>
      <c r="AV45" s="151"/>
      <c r="AW45" s="151"/>
      <c r="AX45" s="163">
        <f>SUM(AX33:AX44)</f>
        <v>0</v>
      </c>
      <c r="AY45" s="163">
        <f>SUM(AY33:AY44)</f>
        <v>0</v>
      </c>
      <c r="AZ45" s="163">
        <f>SUM(AZ33:AZ44)</f>
        <v>0</v>
      </c>
      <c r="BA45" s="221" t="str">
        <f>IF(COUNT(BA33:BA44)=0,"-",AVERAGE(BA33:BA44))</f>
        <v>-</v>
      </c>
      <c r="BB45" s="1386"/>
      <c r="BC45" s="165"/>
      <c r="BD45" s="166"/>
      <c r="BE45" s="165"/>
      <c r="BF45" s="165"/>
      <c r="BG45" s="165"/>
      <c r="BH45" s="165"/>
      <c r="BI45" s="165"/>
      <c r="BJ45" s="165"/>
      <c r="BK45" s="165"/>
      <c r="BL45" s="165"/>
      <c r="BM45" s="165"/>
      <c r="BN45" s="176"/>
      <c r="BO45" s="577"/>
      <c r="BP45" s="1421"/>
      <c r="BQ45" s="1896"/>
      <c r="BR45" s="1890"/>
      <c r="BS45" s="498"/>
      <c r="BT45" s="496"/>
      <c r="BU45" s="462"/>
      <c r="BV45" s="463"/>
      <c r="BW45" s="464"/>
      <c r="BX45" s="465"/>
      <c r="BY45" s="466">
        <f>AM45</f>
        <v>0</v>
      </c>
      <c r="BZ45" s="466">
        <f>COUNTIF(BZ33:BZ44,"=0")</f>
        <v>0</v>
      </c>
      <c r="CA45" s="467">
        <f>SUM(COUNTIF(BZ33:BZ44,"&lt;0"),COUNTIF(BZ33:BZ44,"&gt;0"))</f>
        <v>0</v>
      </c>
      <c r="CB45" s="468"/>
      <c r="CC45" s="469"/>
      <c r="CD45" s="469"/>
      <c r="CE45" s="470"/>
      <c r="CF45" s="1397"/>
      <c r="CG45" s="659"/>
      <c r="CH45" s="1312"/>
      <c r="CI45" s="1312"/>
      <c r="CJ45" s="1312"/>
      <c r="CK45" s="1354">
        <f>SUMIF($BP33:$BP44,$B$1,CK33:CK44)</f>
        <v>0</v>
      </c>
      <c r="CL45" s="1355">
        <f>SUMIF($BP33:$BP44,$B$1,CL33:CL44)</f>
        <v>0</v>
      </c>
      <c r="CM45" s="1355">
        <f>SUMIF($A33:$A44,$B$1,CM33:CM44)</f>
        <v>0</v>
      </c>
      <c r="CN45" s="1355">
        <f>SUMIF($A33:$A44,$B$1,CN33:CN44)</f>
        <v>0</v>
      </c>
      <c r="CO45" s="1356">
        <f>SUMIF($A33:$A44,$B$1,CO33:CO44)</f>
        <v>0</v>
      </c>
      <c r="CP45" s="1322"/>
      <c r="CQ45" s="1322"/>
      <c r="CR45" s="1322"/>
      <c r="CS45" s="1354">
        <f>SUMIF($A33:$A44,$B$1,CS33:CS44)</f>
        <v>0</v>
      </c>
      <c r="CT45" s="1354">
        <f>SUMIF($A33:$A44,$B$1,CT33:CT44)</f>
        <v>0</v>
      </c>
      <c r="CU45" s="602"/>
    </row>
    <row r="46" spans="1:99" ht="30" hidden="1" customHeight="1" outlineLevel="1">
      <c r="A46" s="179" t="s">
        <v>87</v>
      </c>
      <c r="B46" s="348">
        <f>COUNT(A33:A44)</f>
        <v>0</v>
      </c>
      <c r="C46" s="181"/>
      <c r="D46" s="182"/>
      <c r="E46" s="182"/>
      <c r="F46" s="182"/>
      <c r="G46" s="184"/>
      <c r="H46" s="184">
        <f>SUMIF(A33:A44,"&gt;0",H33:H44)</f>
        <v>0</v>
      </c>
      <c r="I46" s="184"/>
      <c r="J46" s="184">
        <f>SUM(J33:J44)</f>
        <v>0</v>
      </c>
      <c r="K46" s="184"/>
      <c r="L46" s="184"/>
      <c r="M46" s="184"/>
      <c r="N46" s="184"/>
      <c r="O46" s="184"/>
      <c r="P46" s="184"/>
      <c r="Q46" s="184"/>
      <c r="R46" s="185"/>
      <c r="S46" s="185">
        <f>SUMIF(AG33:AG44,"&gt;0",S33:S44)-SUMIF(AF33:AF44,"&gt;0",S33:S44)</f>
        <v>0</v>
      </c>
      <c r="T46" s="185"/>
      <c r="U46" s="182"/>
      <c r="V46" s="182"/>
      <c r="W46" s="182"/>
      <c r="X46" s="185">
        <f>SUMIF(AM33:AM44,"&gt;0",X33:X44)-SUMIF(AL33:AL44,"&gt;0",X33:X44)</f>
        <v>0</v>
      </c>
      <c r="Y46" s="185"/>
      <c r="Z46" s="182"/>
      <c r="AA46" s="182"/>
      <c r="AB46" s="182"/>
      <c r="AC46" s="186"/>
      <c r="AD46" s="186"/>
      <c r="AE46" s="1719"/>
      <c r="AF46" s="184">
        <f>COUNT(AG33:AG44)</f>
        <v>0</v>
      </c>
      <c r="AG46" s="191">
        <f>SUM(AG33:AG44)</f>
        <v>0</v>
      </c>
      <c r="AH46" s="186"/>
      <c r="AI46" s="186"/>
      <c r="AJ46" s="186"/>
      <c r="AK46" s="184"/>
      <c r="AL46" s="184"/>
      <c r="AM46" s="184"/>
      <c r="AN46" s="184"/>
      <c r="AO46" s="184"/>
      <c r="AP46" s="182"/>
      <c r="AQ46" s="182"/>
      <c r="AR46" s="182"/>
      <c r="AS46" s="187"/>
      <c r="AT46" s="182"/>
      <c r="AU46" s="182"/>
      <c r="AV46" s="182"/>
      <c r="AW46" s="182"/>
      <c r="AX46" s="182"/>
      <c r="AY46" s="182"/>
      <c r="AZ46" s="182"/>
      <c r="BA46" s="182"/>
      <c r="BB46" s="188">
        <f>SUM(BB33:BB44)</f>
        <v>0</v>
      </c>
      <c r="BC46" s="190"/>
      <c r="BD46" s="189"/>
      <c r="BE46" s="190"/>
      <c r="BF46" s="190"/>
      <c r="BG46" s="190"/>
      <c r="BH46" s="190"/>
      <c r="BI46" s="190"/>
      <c r="BJ46" s="190"/>
      <c r="BK46" s="190"/>
      <c r="BL46" s="190"/>
      <c r="BM46" s="190"/>
      <c r="BN46" s="308"/>
      <c r="BO46" s="230"/>
      <c r="BP46" s="1422"/>
      <c r="BQ46" s="1897"/>
      <c r="BR46" s="473"/>
      <c r="BS46" s="474"/>
      <c r="BT46" s="471"/>
      <c r="BU46" s="472"/>
      <c r="BV46" s="473"/>
      <c r="BW46" s="475"/>
      <c r="BX46" s="476"/>
      <c r="BY46" s="197">
        <f>SUM(BY33:BY44)</f>
        <v>0</v>
      </c>
      <c r="BZ46" s="197">
        <f>SUMIF(BZ33:BZ44,"=0",CA33:CA44)</f>
        <v>0</v>
      </c>
      <c r="CA46" s="198" t="e">
        <f>SUMIF(BZ33:BZ44,"&lt;&gt;0",CA33:CA44)</f>
        <v>#N/A</v>
      </c>
      <c r="CB46" s="477"/>
      <c r="CC46" s="308"/>
      <c r="CD46" s="308"/>
      <c r="CE46" s="230"/>
      <c r="CF46" s="744"/>
      <c r="CG46" s="659"/>
      <c r="CH46" s="1312"/>
      <c r="CI46" s="1312"/>
      <c r="CJ46" s="1312"/>
      <c r="CK46" s="1357"/>
      <c r="CL46" s="1358">
        <f>CL45-$S45</f>
        <v>0</v>
      </c>
      <c r="CM46" s="1357"/>
      <c r="CN46" s="1359"/>
      <c r="CO46" s="1357"/>
      <c r="CP46" s="1322"/>
      <c r="CQ46" s="1322"/>
      <c r="CR46" s="1322"/>
      <c r="CS46" s="1357"/>
      <c r="CT46" s="1358">
        <f>CT45-$M45</f>
        <v>0</v>
      </c>
      <c r="CU46" s="602"/>
    </row>
    <row r="47" spans="1:99" ht="30" customHeight="1" collapsed="1">
      <c r="A47" s="2144" t="s">
        <v>280</v>
      </c>
      <c r="B47" s="2144"/>
      <c r="C47" s="2144"/>
      <c r="D47" s="2144"/>
      <c r="E47" s="2144"/>
      <c r="F47" s="21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1703"/>
      <c r="AF47" s="44"/>
      <c r="AG47" s="45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5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78"/>
      <c r="BO47" s="478"/>
      <c r="BP47" s="1385"/>
      <c r="BQ47" s="209"/>
      <c r="BR47" s="208"/>
      <c r="BS47" s="209"/>
      <c r="BT47" s="207"/>
      <c r="BU47" s="208"/>
      <c r="BV47" s="209"/>
      <c r="BW47" s="101"/>
      <c r="BX47" s="102"/>
      <c r="BY47" s="103"/>
      <c r="BZ47" s="104"/>
      <c r="CA47" s="105"/>
      <c r="CB47" s="501"/>
      <c r="CC47" s="502"/>
      <c r="CD47" s="502"/>
      <c r="CE47" s="503"/>
      <c r="CF47" s="1424"/>
      <c r="CG47" s="657"/>
      <c r="CH47" s="1312"/>
      <c r="CI47" s="1312"/>
      <c r="CJ47" s="1312"/>
      <c r="CK47" s="1379"/>
      <c r="CL47" s="1378"/>
      <c r="CM47" s="1379"/>
      <c r="CN47" s="1335"/>
      <c r="CO47" s="1379"/>
      <c r="CP47" s="1322"/>
      <c r="CQ47" s="1322"/>
      <c r="CR47" s="1322"/>
      <c r="CS47" s="1379"/>
      <c r="CT47" s="1378"/>
      <c r="CU47" s="602"/>
    </row>
    <row r="48" spans="1:99" ht="30" customHeight="1">
      <c r="A48" s="310">
        <f>DAY(AE48)</f>
        <v>3</v>
      </c>
      <c r="B48" s="505">
        <v>600</v>
      </c>
      <c r="C48" s="506">
        <v>6</v>
      </c>
      <c r="D48" s="62" t="s">
        <v>304</v>
      </c>
      <c r="E48" s="62"/>
      <c r="F48" s="507"/>
      <c r="G48" s="80">
        <f>M48-S48</f>
        <v>42.5</v>
      </c>
      <c r="H48" s="80">
        <f>M48-S48</f>
        <v>42.5</v>
      </c>
      <c r="I48" s="80">
        <f>IF($B$2&gt;=A48,($B$2-A48+1)*H48,"-")</f>
        <v>1105</v>
      </c>
      <c r="J48" s="65">
        <f>($A$2-A48+1)*H48</f>
        <v>1105</v>
      </c>
      <c r="K48" s="629" t="s">
        <v>270</v>
      </c>
      <c r="L48" s="252">
        <f ca="1">IF((AC48)&lt;$L$2-DAY($L$2)+1,H48,H48+S48)</f>
        <v>42.5</v>
      </c>
      <c r="M48" s="65">
        <v>44</v>
      </c>
      <c r="N48" s="252">
        <v>50</v>
      </c>
      <c r="O48" s="287">
        <v>0.1</v>
      </c>
      <c r="P48" s="71">
        <v>1100</v>
      </c>
      <c r="Q48" s="71">
        <v>1395</v>
      </c>
      <c r="R48" s="249"/>
      <c r="S48" s="64">
        <v>1.5</v>
      </c>
      <c r="T48" s="70"/>
      <c r="U48" s="1425"/>
      <c r="V48" s="71"/>
      <c r="W48" s="508"/>
      <c r="X48" s="64"/>
      <c r="Y48" s="70"/>
      <c r="Z48" s="508"/>
      <c r="AA48" s="71"/>
      <c r="AB48" s="702"/>
      <c r="AC48" s="135">
        <v>41917</v>
      </c>
      <c r="AD48" s="135">
        <v>42038</v>
      </c>
      <c r="AE48" s="1717">
        <f>AD48</f>
        <v>42038</v>
      </c>
      <c r="AF48" s="78">
        <f>IF(AC48&lt;$D$1,0,AE48-AC48)</f>
        <v>0</v>
      </c>
      <c r="AG48" s="75">
        <f>IF(S48="","",AF48*S48)</f>
        <v>0</v>
      </c>
      <c r="AH48" s="555"/>
      <c r="AI48" s="77"/>
      <c r="AJ48" s="77"/>
      <c r="AK48" s="74"/>
      <c r="AL48" s="75"/>
      <c r="AM48" s="78"/>
      <c r="AN48" s="74"/>
      <c r="AO48" s="74"/>
      <c r="AP48" s="74"/>
      <c r="AQ48" s="66"/>
      <c r="AR48" s="247"/>
      <c r="AS48" s="247"/>
      <c r="AT48" s="247"/>
      <c r="AU48" s="68"/>
      <c r="AV48" s="373"/>
      <c r="AW48" s="83"/>
      <c r="AX48" s="311" t="str">
        <f>IF(AN48&lt;1,"-",AN48-BR48)</f>
        <v>-</v>
      </c>
      <c r="AY48" s="63" t="str">
        <f>IF(AX48="-","-",($B$2-AM48+1)*AX48)</f>
        <v>-</v>
      </c>
      <c r="AZ48" s="63" t="str">
        <f>IF(AX48="-","-",AX48-H48)</f>
        <v>-</v>
      </c>
      <c r="BA48" s="312" t="str">
        <f>IF(AX48="-","-",AX48/H48)</f>
        <v>-</v>
      </c>
      <c r="BB48" s="1317">
        <f>IF(AN48&lt;1,IF($B$2&gt;=A48,($A$2-A48+1)*-1*H48,"-"),AX48*($A$2-AM48+1)-H48*($A$2-A48+1))</f>
        <v>-1105</v>
      </c>
      <c r="BC48" s="1426"/>
      <c r="BD48" s="510"/>
      <c r="BE48" s="511" t="s">
        <v>225</v>
      </c>
      <c r="BF48" s="94">
        <v>13</v>
      </c>
      <c r="BG48" s="91">
        <v>16</v>
      </c>
      <c r="BH48" s="91">
        <v>5</v>
      </c>
      <c r="BI48" s="91" t="s">
        <v>226</v>
      </c>
      <c r="BJ48" s="91"/>
      <c r="BK48" s="91">
        <v>50</v>
      </c>
      <c r="BL48" s="91">
        <f t="shared" ref="BL48:BM51" si="3">IF(BF48=0,"-",BF48-AN48)</f>
        <v>13</v>
      </c>
      <c r="BM48" s="91">
        <f t="shared" si="3"/>
        <v>16</v>
      </c>
      <c r="BN48" s="94" t="e">
        <f>IF(BL48="-","-",AX48+BL48)</f>
        <v>#VALUE!</v>
      </c>
      <c r="BO48" s="1319" t="e">
        <f>IF(BL48="-","-",(($B$2-AM48+1)*(AX48+BL48)))</f>
        <v>#VALUE!</v>
      </c>
      <c r="BP48" s="1910">
        <f>IF(AC48&lt;=$D$1,S48,0)</f>
        <v>1.5</v>
      </c>
      <c r="BQ48" s="1855">
        <f>BP48*($A$2-A48+1)</f>
        <v>39</v>
      </c>
      <c r="BR48" s="132"/>
      <c r="BS48" s="99" t="str">
        <f t="shared" ref="BS48:BS51" si="4">IF(AM48&lt;1,"",(AM48))</f>
        <v/>
      </c>
      <c r="BT48" s="284">
        <f t="shared" ref="BT48:BT51" si="5">S48</f>
        <v>1.5</v>
      </c>
      <c r="BU48" s="214">
        <f t="shared" ref="BU48:BU51" si="6">AG48</f>
        <v>0</v>
      </c>
      <c r="BV48" s="214">
        <f t="shared" ref="BV48:BV51" si="7">IF(AE48&gt;$CC$7,S48,IF(AE48="перех",(S48),"-"))</f>
        <v>1.5</v>
      </c>
      <c r="BW48" s="101" t="e">
        <f>NA()</f>
        <v>#N/A</v>
      </c>
      <c r="BX48" s="102" t="e">
        <f>NA()</f>
        <v>#N/A</v>
      </c>
      <c r="BY48" s="103" t="e">
        <f t="shared" ref="BY48:BY51" si="8">($D$1-AJ48)*AX48</f>
        <v>#VALUE!</v>
      </c>
      <c r="BZ48" s="104" t="e">
        <f t="shared" ref="BZ48:BZ51" si="9">IF(AM48&gt;0,"-",(AE48-BX48))</f>
        <v>#N/A</v>
      </c>
      <c r="CA48" s="105" t="e">
        <f t="shared" ref="CA48:CA51" si="10">IF(AM48&gt;0,"-",(($D$1-BX48)*H48))</f>
        <v>#N/A</v>
      </c>
      <c r="CB48" s="106"/>
      <c r="CC48" s="107"/>
      <c r="CD48" s="108"/>
      <c r="CE48" s="377"/>
      <c r="CF48" s="912" t="s">
        <v>96</v>
      </c>
      <c r="CG48" s="602"/>
      <c r="CH48" s="1312"/>
      <c r="CI48" s="1312"/>
      <c r="CJ48" s="1312"/>
      <c r="CK48" s="1313">
        <f t="shared" ref="CK48:CK51" si="11">IF($BP48&lt;=$B$1,$T48-$T48*CH48,$T48)</f>
        <v>0</v>
      </c>
      <c r="CL48" s="1302">
        <f t="shared" ref="CL48:CL51" si="12">IF($BP48&lt;=$B$1,$S48-$S48*CJ48,$S48)</f>
        <v>1.5</v>
      </c>
      <c r="CM48" s="1321">
        <f t="shared" ref="CM48:CM51" si="13">IF(CK48=0,$M48-$S48,($N48-CK48)*$M48/$N48)</f>
        <v>42.5</v>
      </c>
      <c r="CN48" s="1321">
        <f t="shared" ref="CN48:CN51" si="14">IF(CK48=0,0,-(CL48-CK48*$M48/$N48))</f>
        <v>0</v>
      </c>
      <c r="CO48" s="1321">
        <f t="shared" ref="CO48:CO51" si="15">CM48+CN48</f>
        <v>42.5</v>
      </c>
      <c r="CP48" s="1322">
        <v>2.3071000000000001E-2</v>
      </c>
      <c r="CQ48" s="1322">
        <v>-1.1539000000000001E-2</v>
      </c>
      <c r="CR48" s="1322">
        <v>1.1532000000000001E-2</v>
      </c>
      <c r="CS48" s="1313">
        <f t="shared" ref="CS48:CS51" si="16">IF($A48&lt;=$B$1,$N48-$N48*CP48,$N48)</f>
        <v>48.846449999999997</v>
      </c>
      <c r="CT48" s="1321">
        <f t="shared" ref="CT48:CT51" si="17">IF($A48&lt;=$B$1,$M48-$M48*CR48,$M48)</f>
        <v>43.492592000000002</v>
      </c>
      <c r="CU48" s="602"/>
    </row>
    <row r="49" spans="1:99" ht="30" customHeight="1" outlineLevel="1">
      <c r="A49" s="310"/>
      <c r="B49" s="505"/>
      <c r="C49" s="506"/>
      <c r="D49" s="62"/>
      <c r="E49" s="62"/>
      <c r="F49" s="507"/>
      <c r="G49" s="80"/>
      <c r="H49" s="80"/>
      <c r="I49" s="80"/>
      <c r="J49" s="65"/>
      <c r="K49" s="629">
        <f>G48*26</f>
        <v>1105</v>
      </c>
      <c r="L49" s="252"/>
      <c r="M49" s="65"/>
      <c r="N49" s="252"/>
      <c r="O49" s="287"/>
      <c r="P49" s="71"/>
      <c r="Q49" s="71"/>
      <c r="R49" s="249"/>
      <c r="S49" s="64"/>
      <c r="T49" s="70"/>
      <c r="U49" s="508"/>
      <c r="V49" s="71"/>
      <c r="W49" s="508"/>
      <c r="X49" s="64"/>
      <c r="Y49" s="70"/>
      <c r="Z49" s="508"/>
      <c r="AA49" s="71"/>
      <c r="AB49" s="702"/>
      <c r="AC49" s="135"/>
      <c r="AD49" s="135"/>
      <c r="AE49" s="1717"/>
      <c r="AF49" s="78"/>
      <c r="AG49" s="75"/>
      <c r="AH49" s="555"/>
      <c r="AI49" s="77"/>
      <c r="AJ49" s="77"/>
      <c r="AK49" s="74"/>
      <c r="AL49" s="75"/>
      <c r="AM49" s="78"/>
      <c r="AN49" s="74"/>
      <c r="AO49" s="74"/>
      <c r="AP49" s="74"/>
      <c r="AQ49" s="66"/>
      <c r="AR49" s="247"/>
      <c r="AS49" s="247"/>
      <c r="AT49" s="247"/>
      <c r="AU49" s="68"/>
      <c r="AV49" s="373"/>
      <c r="AW49" s="83"/>
      <c r="AX49" s="311" t="str">
        <f>IF(AN49&lt;1,"-",AN49-BR49)</f>
        <v>-</v>
      </c>
      <c r="AY49" s="63" t="str">
        <f>IF(AX49="-","-",($B$2-AM49+1)*AX49)</f>
        <v>-</v>
      </c>
      <c r="AZ49" s="63" t="str">
        <f>IF(AX49="-","-",AX49-H49)</f>
        <v>-</v>
      </c>
      <c r="BA49" s="312" t="str">
        <f>IF(AX49="-","-",AX49/H49)</f>
        <v>-</v>
      </c>
      <c r="BB49" s="1317">
        <f>IF(AN49&lt;1,IF($B$2&gt;=A49,($A$2-A49+1)*-1*H49,"-"),AX49*($A$2-AM49+1)-H49*($A$2-A49+1))</f>
        <v>0</v>
      </c>
      <c r="BC49" s="1426"/>
      <c r="BD49" s="510"/>
      <c r="BE49" s="511" t="s">
        <v>227</v>
      </c>
      <c r="BF49" s="94">
        <v>17.8</v>
      </c>
      <c r="BG49" s="91">
        <v>280</v>
      </c>
      <c r="BH49" s="91">
        <v>93</v>
      </c>
      <c r="BI49" s="91">
        <v>1347</v>
      </c>
      <c r="BJ49" s="91"/>
      <c r="BK49" s="91">
        <v>50</v>
      </c>
      <c r="BL49" s="91">
        <f t="shared" si="3"/>
        <v>17.8</v>
      </c>
      <c r="BM49" s="91">
        <f t="shared" si="3"/>
        <v>280</v>
      </c>
      <c r="BN49" s="94" t="e">
        <f>IF(BL49="-","-",AX49+BL49)</f>
        <v>#VALUE!</v>
      </c>
      <c r="BO49" s="1319" t="e">
        <f>IF(BL49="-","-",(($B$2-AM49+1)*(AX49+BL49)))</f>
        <v>#VALUE!</v>
      </c>
      <c r="BP49" s="1904"/>
      <c r="BQ49" s="1859"/>
      <c r="BR49" s="132"/>
      <c r="BS49" s="99" t="str">
        <f t="shared" si="4"/>
        <v/>
      </c>
      <c r="BT49" s="284">
        <f t="shared" si="5"/>
        <v>0</v>
      </c>
      <c r="BU49" s="132">
        <f t="shared" si="6"/>
        <v>0</v>
      </c>
      <c r="BV49" s="132" t="str">
        <f t="shared" si="7"/>
        <v>-</v>
      </c>
      <c r="BW49" s="101" t="e">
        <f>NA()</f>
        <v>#N/A</v>
      </c>
      <c r="BX49" s="102" t="e">
        <f>NA()</f>
        <v>#N/A</v>
      </c>
      <c r="BY49" s="103" t="e">
        <f t="shared" si="8"/>
        <v>#VALUE!</v>
      </c>
      <c r="BZ49" s="104" t="e">
        <f t="shared" si="9"/>
        <v>#N/A</v>
      </c>
      <c r="CA49" s="105" t="e">
        <f t="shared" si="10"/>
        <v>#N/A</v>
      </c>
      <c r="CB49" s="106"/>
      <c r="CC49" s="107"/>
      <c r="CD49" s="108"/>
      <c r="CE49" s="377"/>
      <c r="CF49" s="912" t="s">
        <v>96</v>
      </c>
      <c r="CG49" s="659"/>
      <c r="CH49" s="1312"/>
      <c r="CI49" s="1312"/>
      <c r="CJ49" s="1312"/>
      <c r="CK49" s="1313">
        <f t="shared" si="11"/>
        <v>0</v>
      </c>
      <c r="CL49" s="1302">
        <f t="shared" si="12"/>
        <v>0</v>
      </c>
      <c r="CM49" s="1321">
        <f t="shared" si="13"/>
        <v>0</v>
      </c>
      <c r="CN49" s="1321">
        <f t="shared" si="14"/>
        <v>0</v>
      </c>
      <c r="CO49" s="1321">
        <f t="shared" si="15"/>
        <v>0</v>
      </c>
      <c r="CP49" s="1322">
        <v>0.01</v>
      </c>
      <c r="CQ49" s="1322">
        <v>8.0000000000000002E-3</v>
      </c>
      <c r="CR49" s="1322">
        <v>1.7999999999999999E-2</v>
      </c>
      <c r="CS49" s="1313">
        <f t="shared" si="16"/>
        <v>0</v>
      </c>
      <c r="CT49" s="1321">
        <f t="shared" si="17"/>
        <v>0</v>
      </c>
      <c r="CU49" s="602"/>
    </row>
    <row r="50" spans="1:99" ht="30" customHeight="1" outlineLevel="1">
      <c r="A50" s="310"/>
      <c r="B50" s="505"/>
      <c r="C50" s="506"/>
      <c r="D50" s="62"/>
      <c r="E50" s="62"/>
      <c r="F50" s="507"/>
      <c r="G50" s="65"/>
      <c r="H50" s="65"/>
      <c r="I50" s="65"/>
      <c r="J50" s="65"/>
      <c r="K50" s="66">
        <f>S48*26</f>
        <v>39</v>
      </c>
      <c r="L50" s="285"/>
      <c r="M50" s="252"/>
      <c r="N50" s="252"/>
      <c r="O50" s="71"/>
      <c r="P50" s="71"/>
      <c r="Q50" s="71"/>
      <c r="R50" s="249"/>
      <c r="S50" s="64"/>
      <c r="T50" s="70"/>
      <c r="U50" s="508"/>
      <c r="V50" s="71"/>
      <c r="W50" s="508"/>
      <c r="X50" s="64"/>
      <c r="Y50" s="70"/>
      <c r="Z50" s="508"/>
      <c r="AA50" s="71"/>
      <c r="AB50" s="274"/>
      <c r="AC50" s="135"/>
      <c r="AD50" s="135"/>
      <c r="AE50" s="1723"/>
      <c r="AF50" s="78"/>
      <c r="AG50" s="75"/>
      <c r="AH50" s="555"/>
      <c r="AI50" s="77"/>
      <c r="AJ50" s="77"/>
      <c r="AK50" s="74"/>
      <c r="AL50" s="75"/>
      <c r="AM50" s="78"/>
      <c r="AN50" s="74"/>
      <c r="AO50" s="74"/>
      <c r="AP50" s="74"/>
      <c r="AQ50" s="66"/>
      <c r="AR50" s="247"/>
      <c r="AS50" s="247"/>
      <c r="AT50" s="68"/>
      <c r="AU50" s="68"/>
      <c r="AV50" s="373"/>
      <c r="AW50" s="83"/>
      <c r="AX50" s="311" t="str">
        <f>IF(AN50&lt;1,"-",AN50-BR50)</f>
        <v>-</v>
      </c>
      <c r="AY50" s="63" t="str">
        <f>IF(AX50="-","-",($B$2-AM50+1)*AX50)</f>
        <v>-</v>
      </c>
      <c r="AZ50" s="63" t="str">
        <f>IF(AX50="-","-",AX50-H50)</f>
        <v>-</v>
      </c>
      <c r="BA50" s="312" t="str">
        <f>IF(AX50="-","-",AX50/H50)</f>
        <v>-</v>
      </c>
      <c r="BB50" s="1317">
        <f>IF(AN50&lt;1,IF($B$2&gt;=A50,($A$2-A50+1)*-1*H50,"-"),AX50*($A$2-AM50+1)-H50*($A$2-A50+1))</f>
        <v>0</v>
      </c>
      <c r="BC50" s="1426"/>
      <c r="BD50" s="510"/>
      <c r="BE50" s="511" t="s">
        <v>228</v>
      </c>
      <c r="BF50" s="94">
        <v>51</v>
      </c>
      <c r="BG50" s="91">
        <v>404</v>
      </c>
      <c r="BH50" s="91">
        <v>85</v>
      </c>
      <c r="BI50" s="91">
        <v>1337</v>
      </c>
      <c r="BJ50" s="91"/>
      <c r="BK50" s="91">
        <v>50.5</v>
      </c>
      <c r="BL50" s="91">
        <f t="shared" si="3"/>
        <v>51</v>
      </c>
      <c r="BM50" s="91">
        <f t="shared" si="3"/>
        <v>404</v>
      </c>
      <c r="BN50" s="94" t="e">
        <f>IF(BL50="-","-",AX50+BL50)</f>
        <v>#VALUE!</v>
      </c>
      <c r="BO50" s="1319" t="e">
        <f>IF(BL50="-","-",(($B$2-AM50+1)*(AX50+BL50)))</f>
        <v>#VALUE!</v>
      </c>
      <c r="BP50" s="1904"/>
      <c r="BQ50" s="1859"/>
      <c r="BR50" s="132"/>
      <c r="BS50" s="99" t="str">
        <f t="shared" si="4"/>
        <v/>
      </c>
      <c r="BT50" s="284">
        <f t="shared" si="5"/>
        <v>0</v>
      </c>
      <c r="BU50" s="132">
        <f t="shared" si="6"/>
        <v>0</v>
      </c>
      <c r="BV50" s="132" t="str">
        <f t="shared" si="7"/>
        <v>-</v>
      </c>
      <c r="BW50" s="101" t="e">
        <f>NA()</f>
        <v>#N/A</v>
      </c>
      <c r="BX50" s="102" t="e">
        <f>NA()</f>
        <v>#N/A</v>
      </c>
      <c r="BY50" s="103" t="e">
        <f t="shared" si="8"/>
        <v>#VALUE!</v>
      </c>
      <c r="BZ50" s="104" t="e">
        <f t="shared" si="9"/>
        <v>#N/A</v>
      </c>
      <c r="CA50" s="105" t="e">
        <f t="shared" si="10"/>
        <v>#N/A</v>
      </c>
      <c r="CB50" s="106"/>
      <c r="CC50" s="107"/>
      <c r="CD50" s="108"/>
      <c r="CE50" s="377"/>
      <c r="CF50" s="912" t="s">
        <v>96</v>
      </c>
      <c r="CG50" s="659"/>
      <c r="CH50" s="1312"/>
      <c r="CI50" s="1312"/>
      <c r="CJ50" s="1312"/>
      <c r="CK50" s="1313">
        <f t="shared" si="11"/>
        <v>0</v>
      </c>
      <c r="CL50" s="1302">
        <f t="shared" si="12"/>
        <v>0</v>
      </c>
      <c r="CM50" s="1321">
        <f t="shared" si="13"/>
        <v>0</v>
      </c>
      <c r="CN50" s="1321">
        <f t="shared" si="14"/>
        <v>0</v>
      </c>
      <c r="CO50" s="1321">
        <f t="shared" si="15"/>
        <v>0</v>
      </c>
      <c r="CP50" s="1322"/>
      <c r="CQ50" s="1322"/>
      <c r="CR50" s="1322"/>
      <c r="CS50" s="1313">
        <f t="shared" si="16"/>
        <v>0</v>
      </c>
      <c r="CT50" s="1321">
        <f t="shared" si="17"/>
        <v>0</v>
      </c>
      <c r="CU50" s="602"/>
    </row>
    <row r="51" spans="1:99" ht="30" customHeight="1" outlineLevel="1">
      <c r="A51" s="310"/>
      <c r="B51" s="505"/>
      <c r="C51" s="506"/>
      <c r="D51" s="62"/>
      <c r="E51" s="62"/>
      <c r="F51" s="247"/>
      <c r="G51" s="65"/>
      <c r="H51" s="65"/>
      <c r="I51" s="65"/>
      <c r="J51" s="65"/>
      <c r="K51" s="66"/>
      <c r="L51" s="285"/>
      <c r="M51" s="252"/>
      <c r="N51" s="252"/>
      <c r="O51" s="71"/>
      <c r="P51" s="71"/>
      <c r="Q51" s="71"/>
      <c r="R51" s="249"/>
      <c r="S51" s="64"/>
      <c r="T51" s="70"/>
      <c r="U51" s="508"/>
      <c r="V51" s="71"/>
      <c r="W51" s="508"/>
      <c r="X51" s="64"/>
      <c r="Y51" s="70"/>
      <c r="Z51" s="508"/>
      <c r="AA51" s="71"/>
      <c r="AB51" s="274"/>
      <c r="AC51" s="135"/>
      <c r="AD51" s="135"/>
      <c r="AE51" s="1723"/>
      <c r="AF51" s="78"/>
      <c r="AG51" s="75"/>
      <c r="AH51" s="276"/>
      <c r="AI51" s="77"/>
      <c r="AJ51" s="77"/>
      <c r="AK51" s="74"/>
      <c r="AL51" s="75"/>
      <c r="AM51" s="78"/>
      <c r="AN51" s="74"/>
      <c r="AO51" s="74"/>
      <c r="AP51" s="74"/>
      <c r="AQ51" s="112"/>
      <c r="AR51" s="68"/>
      <c r="AS51" s="68"/>
      <c r="AT51" s="68"/>
      <c r="AU51" s="68"/>
      <c r="AV51" s="373"/>
      <c r="AW51" s="83"/>
      <c r="AX51" s="311" t="str">
        <f>IF(AN51&lt;1,"-",AN51-BR51)</f>
        <v>-</v>
      </c>
      <c r="AY51" s="63" t="str">
        <f>IF(AX51="-","-",($B$2-AM51+1)*AX51)</f>
        <v>-</v>
      </c>
      <c r="AZ51" s="63" t="str">
        <f>IF(AX51="-","-",AX51-H51)</f>
        <v>-</v>
      </c>
      <c r="BA51" s="312" t="str">
        <f>IF(AX51="-","-",AX51/H51)</f>
        <v>-</v>
      </c>
      <c r="BB51" s="1317">
        <f>IF(AN51&lt;1,IF($B$2&gt;=A51,($A$2-A51+1)*-1*H51,"-"),AX51*($A$2-AM51+1)-H51*($A$2-A51+1))</f>
        <v>0</v>
      </c>
      <c r="BC51" s="1426"/>
      <c r="BD51" s="510"/>
      <c r="BE51" s="513" t="s">
        <v>229</v>
      </c>
      <c r="BF51" s="94">
        <v>16.600000000000001</v>
      </c>
      <c r="BG51" s="91">
        <v>182</v>
      </c>
      <c r="BH51" s="91">
        <v>89.2</v>
      </c>
      <c r="BI51" s="91">
        <v>2107</v>
      </c>
      <c r="BJ51" s="91"/>
      <c r="BK51" s="91">
        <v>50</v>
      </c>
      <c r="BL51" s="91">
        <f t="shared" si="3"/>
        <v>16.600000000000001</v>
      </c>
      <c r="BM51" s="91">
        <f t="shared" si="3"/>
        <v>182</v>
      </c>
      <c r="BN51" s="94" t="e">
        <f>IF(BL51="-","-",AX51+BL51)</f>
        <v>#VALUE!</v>
      </c>
      <c r="BO51" s="1319" t="e">
        <f>IF(BL51="-","-",(($B$2-AM51+1)*(AX51+BL51)))</f>
        <v>#VALUE!</v>
      </c>
      <c r="BP51" s="1905"/>
      <c r="BQ51" s="1863"/>
      <c r="BR51" s="132"/>
      <c r="BS51" s="99" t="str">
        <f t="shared" si="4"/>
        <v/>
      </c>
      <c r="BT51" s="284">
        <f t="shared" si="5"/>
        <v>0</v>
      </c>
      <c r="BU51" s="214">
        <f t="shared" si="6"/>
        <v>0</v>
      </c>
      <c r="BV51" s="214" t="str">
        <f t="shared" si="7"/>
        <v>-</v>
      </c>
      <c r="BW51" s="101" t="e">
        <f>NA()</f>
        <v>#N/A</v>
      </c>
      <c r="BX51" s="102" t="e">
        <f>NA()</f>
        <v>#N/A</v>
      </c>
      <c r="BY51" s="103" t="e">
        <f t="shared" si="8"/>
        <v>#VALUE!</v>
      </c>
      <c r="BZ51" s="104" t="e">
        <f t="shared" si="9"/>
        <v>#N/A</v>
      </c>
      <c r="CA51" s="105" t="e">
        <f t="shared" si="10"/>
        <v>#N/A</v>
      </c>
      <c r="CB51" s="106"/>
      <c r="CC51" s="107"/>
      <c r="CD51" s="108"/>
      <c r="CE51" s="377"/>
      <c r="CF51" s="912" t="s">
        <v>96</v>
      </c>
      <c r="CG51" s="659"/>
      <c r="CH51" s="1312"/>
      <c r="CI51" s="1312"/>
      <c r="CJ51" s="1312"/>
      <c r="CK51" s="1313">
        <f t="shared" si="11"/>
        <v>0</v>
      </c>
      <c r="CL51" s="1302">
        <f t="shared" si="12"/>
        <v>0</v>
      </c>
      <c r="CM51" s="1321">
        <f t="shared" si="13"/>
        <v>0</v>
      </c>
      <c r="CN51" s="1321">
        <f t="shared" si="14"/>
        <v>0</v>
      </c>
      <c r="CO51" s="1321">
        <f t="shared" si="15"/>
        <v>0</v>
      </c>
      <c r="CP51" s="1322"/>
      <c r="CQ51" s="1322"/>
      <c r="CR51" s="1322"/>
      <c r="CS51" s="1313">
        <f t="shared" si="16"/>
        <v>0</v>
      </c>
      <c r="CT51" s="1321">
        <f t="shared" si="17"/>
        <v>0</v>
      </c>
      <c r="CU51" s="602"/>
    </row>
    <row r="52" spans="1:99" ht="30" customHeight="1">
      <c r="A52" s="148" t="s">
        <v>86</v>
      </c>
      <c r="B52" s="149">
        <f>COUNTIF(A48:A51,$B$1)</f>
        <v>1</v>
      </c>
      <c r="C52" s="150"/>
      <c r="D52" s="151"/>
      <c r="E52" s="151"/>
      <c r="F52" s="151"/>
      <c r="G52" s="152">
        <f>SUMIF(A48:A51,$B$1,G48:G51)</f>
        <v>42.5</v>
      </c>
      <c r="H52" s="152">
        <f>SUMIF(A48:A51,$B$1,H48:H51)</f>
        <v>42.5</v>
      </c>
      <c r="I52" s="152">
        <f>SUM(I48:I51)</f>
        <v>1105</v>
      </c>
      <c r="J52" s="152"/>
      <c r="K52" s="152"/>
      <c r="L52" s="153">
        <f ca="1">SUMIF(A48:A51,$B$1,L48:L51)</f>
        <v>42.5</v>
      </c>
      <c r="M52" s="153">
        <f>SUMIF(A48:A51,$B$1,M48:M51)</f>
        <v>44</v>
      </c>
      <c r="N52" s="152"/>
      <c r="O52" s="152"/>
      <c r="P52" s="152"/>
      <c r="Q52" s="152"/>
      <c r="R52" s="152"/>
      <c r="S52" s="152">
        <f>SUMIF(A48:A51,$B$1,S48:S51)</f>
        <v>1.5</v>
      </c>
      <c r="T52" s="152">
        <f>SUMIF(A48:A51,$B$1,T48:T51)</f>
        <v>0</v>
      </c>
      <c r="U52" s="151"/>
      <c r="V52" s="151"/>
      <c r="W52" s="151"/>
      <c r="X52" s="152">
        <f>SUMIF(G48:G51,$B$1,X48:X51)</f>
        <v>0</v>
      </c>
      <c r="Y52" s="152">
        <f>SUMIF(G48:G51,$B$1,Y48:Y51)</f>
        <v>0</v>
      </c>
      <c r="Z52" s="151"/>
      <c r="AA52" s="151"/>
      <c r="AB52" s="151"/>
      <c r="AC52" s="154"/>
      <c r="AD52" s="155"/>
      <c r="AE52" s="1718"/>
      <c r="AF52" s="158"/>
      <c r="AG52" s="157"/>
      <c r="AH52" s="730"/>
      <c r="AI52" s="156"/>
      <c r="AJ52" s="156"/>
      <c r="AK52" s="152"/>
      <c r="AL52" s="157"/>
      <c r="AM52" s="297">
        <f>COUNTA(AM48:AM51)</f>
        <v>0</v>
      </c>
      <c r="AN52" s="152">
        <f>SUM(AN48:AN51)</f>
        <v>0</v>
      </c>
      <c r="AO52" s="152">
        <f>SUM(AO48:AO51)</f>
        <v>0</v>
      </c>
      <c r="AP52" s="161"/>
      <c r="AQ52" s="151"/>
      <c r="AR52" s="151"/>
      <c r="AS52" s="151"/>
      <c r="AT52" s="151"/>
      <c r="AU52" s="151"/>
      <c r="AV52" s="151"/>
      <c r="AW52" s="151"/>
      <c r="AX52" s="163">
        <f>SUM(AX48:AX51)</f>
        <v>0</v>
      </c>
      <c r="AY52" s="163">
        <f>SUM(AY48:AY51)</f>
        <v>0</v>
      </c>
      <c r="AZ52" s="163">
        <f>SUM(AZ48:AZ51)</f>
        <v>0</v>
      </c>
      <c r="BA52" s="221" t="str">
        <f>IF(COUNT(BA48:BA51)=0,"-",AVERAGE(BA48:BA51))</f>
        <v>-</v>
      </c>
      <c r="BB52" s="1386"/>
      <c r="BC52" s="341"/>
      <c r="BD52" s="340"/>
      <c r="BE52" s="341"/>
      <c r="BF52" s="341"/>
      <c r="BG52" s="341"/>
      <c r="BH52" s="341"/>
      <c r="BI52" s="341"/>
      <c r="BJ52" s="341"/>
      <c r="BK52" s="341"/>
      <c r="BL52" s="341"/>
      <c r="BM52" s="341"/>
      <c r="BN52" s="167"/>
      <c r="BO52" s="162"/>
      <c r="BP52" s="1868">
        <f>COUNTIF(BP47:BP51,"&gt;0")</f>
        <v>1</v>
      </c>
      <c r="BQ52" s="1867"/>
      <c r="BR52" s="1890"/>
      <c r="BS52" s="498"/>
      <c r="BT52" s="496"/>
      <c r="BU52" s="462"/>
      <c r="BV52" s="463"/>
      <c r="BW52" s="171"/>
      <c r="BX52" s="172"/>
      <c r="BY52" s="173">
        <f>AM52</f>
        <v>0</v>
      </c>
      <c r="BZ52" s="173">
        <f>COUNTIF(BZ48:BZ51,"=0")</f>
        <v>0</v>
      </c>
      <c r="CA52" s="174">
        <f>SUM(COUNTIF(BZ48:BZ51,"&lt;0"),COUNTIF(BZ48:BZ51,"&gt;0"))</f>
        <v>0</v>
      </c>
      <c r="CB52" s="225"/>
      <c r="CC52" s="226"/>
      <c r="CD52" s="227"/>
      <c r="CE52" s="228"/>
      <c r="CF52" s="731"/>
      <c r="CG52" s="659"/>
      <c r="CH52" s="1312"/>
      <c r="CI52" s="1312"/>
      <c r="CJ52" s="1312"/>
      <c r="CK52" s="1354">
        <f>SUMIF($BP48:$BP51,$B$1,CK48:CK51)</f>
        <v>0</v>
      </c>
      <c r="CL52" s="1355">
        <f>SUMIF($BP48:$BP51,$B$1,CL48:CL51)</f>
        <v>1.5</v>
      </c>
      <c r="CM52" s="1355">
        <f>SUMIF($A48:$A51,$B$1,CM48:CM51)</f>
        <v>42.5</v>
      </c>
      <c r="CN52" s="1355">
        <f>SUMIF($A48:$A51,$B$1,CN48:CN51)</f>
        <v>0</v>
      </c>
      <c r="CO52" s="1356">
        <f>SUMIF($A48:$A51,$B$1,CO48:CO51)</f>
        <v>42.5</v>
      </c>
      <c r="CP52" s="1322"/>
      <c r="CQ52" s="1322"/>
      <c r="CR52" s="1322"/>
      <c r="CS52" s="1354">
        <f>SUMIF($A48:$A51,$B$1,CS48:CS51)</f>
        <v>48.846449999999997</v>
      </c>
      <c r="CT52" s="1354">
        <f>SUMIF($A48:$A51,$B$1,CT48:CT51)</f>
        <v>43.492592000000002</v>
      </c>
      <c r="CU52" s="602"/>
    </row>
    <row r="53" spans="1:99" ht="30" customHeight="1">
      <c r="A53" s="179" t="s">
        <v>87</v>
      </c>
      <c r="B53" s="348">
        <f>COUNT(A48:A51)</f>
        <v>1</v>
      </c>
      <c r="C53" s="181"/>
      <c r="D53" s="182"/>
      <c r="E53" s="182"/>
      <c r="F53" s="182"/>
      <c r="G53" s="184">
        <f>SUM(G48:G51)</f>
        <v>42.5</v>
      </c>
      <c r="H53" s="184">
        <f>SUMIF(A48:A51,"&gt;0",H48:H51)</f>
        <v>42.5</v>
      </c>
      <c r="I53" s="184"/>
      <c r="J53" s="184">
        <f>SUM(J48:J51)</f>
        <v>1105</v>
      </c>
      <c r="K53" s="184"/>
      <c r="L53" s="184"/>
      <c r="M53" s="184"/>
      <c r="N53" s="184"/>
      <c r="O53" s="184"/>
      <c r="P53" s="184"/>
      <c r="Q53" s="184"/>
      <c r="R53" s="185"/>
      <c r="S53" s="185">
        <f>SUMIF(AE48:AE51,"перех.",S48:S51)</f>
        <v>0</v>
      </c>
      <c r="T53" s="185"/>
      <c r="U53" s="182"/>
      <c r="V53" s="182"/>
      <c r="W53" s="182"/>
      <c r="X53" s="185">
        <f>SUMIF(AK48:AK51,"перех.",X48:X51)</f>
        <v>0</v>
      </c>
      <c r="Y53" s="185"/>
      <c r="Z53" s="182"/>
      <c r="AA53" s="182"/>
      <c r="AB53" s="182"/>
      <c r="AC53" s="186"/>
      <c r="AD53" s="186"/>
      <c r="AE53" s="1719"/>
      <c r="AF53" s="184">
        <f>COUNTIF(AF48:AF51,"&gt;0")</f>
        <v>0</v>
      </c>
      <c r="AG53" s="191">
        <f>SUM(AG48:AG51)</f>
        <v>0</v>
      </c>
      <c r="AH53" s="186"/>
      <c r="AI53" s="186"/>
      <c r="AJ53" s="186"/>
      <c r="AK53" s="184"/>
      <c r="AL53" s="184">
        <f>SUM(AL48:AL51)</f>
        <v>0</v>
      </c>
      <c r="AM53" s="182"/>
      <c r="AN53" s="182"/>
      <c r="AO53" s="182"/>
      <c r="AP53" s="187"/>
      <c r="AQ53" s="182"/>
      <c r="AR53" s="182"/>
      <c r="AS53" s="182"/>
      <c r="AT53" s="182"/>
      <c r="AU53" s="182"/>
      <c r="AV53" s="182"/>
      <c r="AW53" s="182"/>
      <c r="AX53" s="182"/>
      <c r="AY53" s="182"/>
      <c r="AZ53" s="182"/>
      <c r="BA53" s="182"/>
      <c r="BB53" s="1428">
        <f>SUM(BB48:BB51)</f>
        <v>-1105</v>
      </c>
      <c r="BC53" s="476"/>
      <c r="BD53" s="535"/>
      <c r="BE53" s="476"/>
      <c r="BF53" s="476"/>
      <c r="BG53" s="476"/>
      <c r="BH53" s="476"/>
      <c r="BI53" s="476"/>
      <c r="BJ53" s="476"/>
      <c r="BK53" s="476"/>
      <c r="BL53" s="476"/>
      <c r="BM53" s="476"/>
      <c r="BN53" s="308"/>
      <c r="BO53" s="184"/>
      <c r="BP53" s="1872">
        <f>SUMIF(BP48:BP51,"&gt;0",BP48:BP51)</f>
        <v>1.5</v>
      </c>
      <c r="BQ53" s="1873">
        <f>SUMIF(BQ48:BQ51,"&gt;0",BQ48:BQ51)</f>
        <v>39</v>
      </c>
      <c r="BR53" s="473"/>
      <c r="BS53" s="474"/>
      <c r="BT53" s="471"/>
      <c r="BU53" s="472"/>
      <c r="BV53" s="473"/>
      <c r="BW53" s="195"/>
      <c r="BX53" s="196"/>
      <c r="BY53" s="197" t="e">
        <f>SUM(BY48:BY51)</f>
        <v>#VALUE!</v>
      </c>
      <c r="BZ53" s="197">
        <f>SUMIF(BZ48:BZ51,"=0",CA48:CA51)</f>
        <v>0</v>
      </c>
      <c r="CA53" s="198" t="e">
        <f>SUMIF(BZ48:BZ51,"&lt;&gt;0",CA48:CA51)</f>
        <v>#N/A</v>
      </c>
      <c r="CB53" s="477"/>
      <c r="CC53" s="308"/>
      <c r="CD53" s="308"/>
      <c r="CE53" s="237"/>
      <c r="CF53" s="744"/>
      <c r="CG53" s="657"/>
      <c r="CH53" s="1312"/>
      <c r="CI53" s="1312"/>
      <c r="CJ53" s="1312"/>
      <c r="CK53" s="1357"/>
      <c r="CL53" s="1358">
        <f>CL52-$S52</f>
        <v>0</v>
      </c>
      <c r="CM53" s="1357"/>
      <c r="CN53" s="1359"/>
      <c r="CO53" s="1357"/>
      <c r="CP53" s="1322"/>
      <c r="CQ53" s="1322"/>
      <c r="CR53" s="1322"/>
      <c r="CS53" s="1357"/>
      <c r="CT53" s="1358">
        <f>CT52-$M52</f>
        <v>-0.50740799999999808</v>
      </c>
      <c r="CU53" s="602"/>
    </row>
    <row r="54" spans="1:99" ht="30" hidden="1" customHeight="1" outlineLevel="1">
      <c r="A54" s="2144" t="s">
        <v>246</v>
      </c>
      <c r="B54" s="2144"/>
      <c r="C54" s="2144"/>
      <c r="D54" s="2144"/>
      <c r="E54" s="2144"/>
      <c r="F54" s="21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1703"/>
      <c r="AF54" s="44"/>
      <c r="AG54" s="45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5"/>
      <c r="BD54" s="46"/>
      <c r="BE54" s="46"/>
      <c r="BF54" s="46"/>
      <c r="BG54" s="46"/>
      <c r="BH54" s="46"/>
      <c r="BI54" s="46"/>
      <c r="BJ54" s="46"/>
      <c r="BK54" s="46"/>
      <c r="BL54" s="46"/>
      <c r="BM54" s="46"/>
      <c r="BN54" s="478"/>
      <c r="BO54" s="478"/>
      <c r="BP54" s="1390"/>
      <c r="BQ54" s="100"/>
      <c r="BR54" s="97"/>
      <c r="BS54" s="100"/>
      <c r="BT54" s="96"/>
      <c r="BU54" s="97"/>
      <c r="BV54" s="100"/>
      <c r="BW54" s="52"/>
      <c r="BX54" s="53"/>
      <c r="BY54" s="53"/>
      <c r="BZ54" s="53"/>
      <c r="CA54" s="206"/>
      <c r="CB54" s="483"/>
      <c r="CC54" s="478"/>
      <c r="CD54" s="478"/>
      <c r="CE54" s="47"/>
      <c r="CF54" s="52"/>
      <c r="CG54" s="657"/>
      <c r="CH54" s="1312"/>
      <c r="CI54" s="1312"/>
      <c r="CJ54" s="1312"/>
      <c r="CK54" s="1379"/>
      <c r="CL54" s="1378"/>
      <c r="CM54" s="1379"/>
      <c r="CN54" s="1335"/>
      <c r="CO54" s="1379"/>
      <c r="CP54" s="1322"/>
      <c r="CQ54" s="1322"/>
      <c r="CR54" s="1322"/>
      <c r="CS54" s="1379"/>
      <c r="CT54" s="1378"/>
      <c r="CU54" s="602"/>
    </row>
    <row r="55" spans="1:99" ht="30" hidden="1" customHeight="1" outlineLevel="1">
      <c r="A55" s="1429" t="s">
        <v>95</v>
      </c>
      <c r="B55" s="1430"/>
      <c r="C55" s="1431"/>
      <c r="D55" s="1432"/>
      <c r="E55" s="1432"/>
      <c r="F55" s="1433"/>
      <c r="G55" s="1434">
        <f>M55-S55</f>
        <v>0</v>
      </c>
      <c r="H55" s="1434"/>
      <c r="I55" s="1434"/>
      <c r="J55" s="1434"/>
      <c r="K55" s="1435"/>
      <c r="L55" s="1436"/>
      <c r="M55" s="1437"/>
      <c r="N55" s="1437"/>
      <c r="O55" s="1438"/>
      <c r="P55" s="1438"/>
      <c r="Q55" s="1438"/>
      <c r="R55" s="1439"/>
      <c r="S55" s="1440"/>
      <c r="T55" s="1441"/>
      <c r="U55" s="1442"/>
      <c r="V55" s="1438"/>
      <c r="W55" s="1442"/>
      <c r="X55" s="1440"/>
      <c r="Y55" s="1441"/>
      <c r="Z55" s="1442"/>
      <c r="AA55" s="1438"/>
      <c r="AB55" s="1443"/>
      <c r="AC55" s="1444"/>
      <c r="AD55" s="1444"/>
      <c r="AE55" s="1731"/>
      <c r="AF55" s="1449"/>
      <c r="AG55" s="1446"/>
      <c r="AH55" s="1447"/>
      <c r="AI55" s="1448"/>
      <c r="AJ55" s="1448"/>
      <c r="AK55" s="1445"/>
      <c r="AL55" s="1446"/>
      <c r="AM55" s="1449"/>
      <c r="AN55" s="1445"/>
      <c r="AO55" s="1445"/>
      <c r="AP55" s="1445"/>
      <c r="AQ55" s="1450"/>
      <c r="AR55" s="1451"/>
      <c r="AS55" s="1451"/>
      <c r="AT55" s="1451"/>
      <c r="AU55" s="1451"/>
      <c r="AV55" s="1452"/>
      <c r="AW55" s="1453"/>
      <c r="AX55" s="1454" t="str">
        <f>IF(AN55&lt;1,"-",AN55-BR55)</f>
        <v>-</v>
      </c>
      <c r="AY55" s="1455" t="str">
        <f>IF(AX55="-","-",($B$2-AM55+1)*AX55)</f>
        <v>-</v>
      </c>
      <c r="AZ55" s="1455" t="str">
        <f>IF(AX55="-","-",AX55-H55)</f>
        <v>-</v>
      </c>
      <c r="BA55" s="1456" t="str">
        <f>IF(AX55="-","-",AX55/(G55*0.9))</f>
        <v>-</v>
      </c>
      <c r="BB55" s="1457"/>
      <c r="BC55" s="1458"/>
      <c r="BD55" s="1459"/>
      <c r="BE55" s="1460" t="s">
        <v>230</v>
      </c>
      <c r="BF55" s="1461">
        <v>116.5</v>
      </c>
      <c r="BG55" s="1462">
        <v>165</v>
      </c>
      <c r="BH55" s="1462">
        <v>18</v>
      </c>
      <c r="BI55" s="1462">
        <v>1800</v>
      </c>
      <c r="BJ55" s="1462"/>
      <c r="BK55" s="1462">
        <v>49</v>
      </c>
      <c r="BL55" s="1462">
        <f>IF(BF55=0,"-",BF55-AN55)</f>
        <v>116.5</v>
      </c>
      <c r="BM55" s="1462">
        <f>IF(BG55=0,"-",BG55-AO55)</f>
        <v>165</v>
      </c>
      <c r="BN55" s="1461" t="e">
        <f>IF(BL55="-","-",AX55+BL55)</f>
        <v>#VALUE!</v>
      </c>
      <c r="BO55" s="1463" t="e">
        <f>IF(BL55="-","-",(($B$2-AM55+1)*(AX55+BL55)))</f>
        <v>#VALUE!</v>
      </c>
      <c r="BP55" s="1464">
        <f>AC55</f>
        <v>0</v>
      </c>
      <c r="BQ55" s="1467">
        <f>IF(AM55&gt;1,(BS55-BP55)*BR55,IF(BS55&lt;1,"",(($BS$7-BP55+1)*BR55)))</f>
        <v>0</v>
      </c>
      <c r="BR55" s="1466"/>
      <c r="BS55" s="1467" t="str">
        <f>IF(AM55&lt;1,"",(AM55))</f>
        <v/>
      </c>
      <c r="BT55" s="1468">
        <f>S55</f>
        <v>0</v>
      </c>
      <c r="BU55" s="1466">
        <f>AG55</f>
        <v>0</v>
      </c>
      <c r="BV55" s="1466"/>
      <c r="BW55" s="1469"/>
      <c r="BX55" s="1470"/>
      <c r="BY55" s="1471"/>
      <c r="BZ55" s="190"/>
      <c r="CA55" s="1472"/>
      <c r="CB55" s="1473"/>
      <c r="CC55" s="1474"/>
      <c r="CD55" s="1475"/>
      <c r="CE55" s="1476"/>
      <c r="CF55" s="1477" t="s">
        <v>96</v>
      </c>
      <c r="CG55" s="217"/>
      <c r="CH55" s="1312"/>
      <c r="CI55" s="1312"/>
      <c r="CJ55" s="1312"/>
      <c r="CK55" s="1313"/>
      <c r="CL55" s="1315"/>
      <c r="CM55" s="1361"/>
      <c r="CN55" s="1361"/>
      <c r="CO55" s="1361"/>
      <c r="CP55" s="1322"/>
      <c r="CQ55" s="1322"/>
      <c r="CR55" s="1322"/>
      <c r="CS55" s="1313"/>
      <c r="CT55" s="1315"/>
      <c r="CU55" s="602"/>
    </row>
    <row r="56" spans="1:99" ht="30" hidden="1" customHeight="1" outlineLevel="1">
      <c r="A56" s="484"/>
      <c r="B56" s="505"/>
      <c r="C56" s="505"/>
      <c r="D56" s="62"/>
      <c r="E56" s="62"/>
      <c r="F56" s="247"/>
      <c r="G56" s="65"/>
      <c r="H56" s="65"/>
      <c r="I56" s="65"/>
      <c r="J56" s="65"/>
      <c r="K56" s="66"/>
      <c r="L56" s="453"/>
      <c r="M56" s="252"/>
      <c r="N56" s="252"/>
      <c r="O56" s="71"/>
      <c r="P56" s="71"/>
      <c r="Q56" s="71"/>
      <c r="R56" s="273"/>
      <c r="S56" s="63"/>
      <c r="T56" s="71"/>
      <c r="U56" s="71"/>
      <c r="V56" s="71"/>
      <c r="W56" s="71"/>
      <c r="X56" s="63"/>
      <c r="Y56" s="71"/>
      <c r="Z56" s="71"/>
      <c r="AA56" s="71"/>
      <c r="AB56" s="527"/>
      <c r="AC56" s="135"/>
      <c r="AD56" s="135"/>
      <c r="AE56" s="1723"/>
      <c r="AF56" s="969"/>
      <c r="AG56" s="75"/>
      <c r="AH56" s="276"/>
      <c r="AI56" s="77"/>
      <c r="AJ56" s="77"/>
      <c r="AK56" s="74"/>
      <c r="AL56" s="75"/>
      <c r="AM56" s="78"/>
      <c r="AN56" s="74"/>
      <c r="AO56" s="256"/>
      <c r="AP56" s="74"/>
      <c r="AQ56" s="112"/>
      <c r="AR56" s="270"/>
      <c r="AS56" s="270"/>
      <c r="AT56" s="270"/>
      <c r="AU56" s="285"/>
      <c r="AV56" s="538"/>
      <c r="AW56" s="539"/>
      <c r="AX56" s="311"/>
      <c r="AY56" s="63"/>
      <c r="AZ56" s="63"/>
      <c r="BA56" s="540"/>
      <c r="BB56" s="139"/>
      <c r="BC56" s="1427"/>
      <c r="BD56" s="527"/>
      <c r="BE56" s="528"/>
      <c r="BF56" s="123"/>
      <c r="BG56" s="123"/>
      <c r="BH56" s="123"/>
      <c r="BI56" s="123"/>
      <c r="BJ56" s="281"/>
      <c r="BK56" s="123"/>
      <c r="BL56" s="123"/>
      <c r="BM56" s="123"/>
      <c r="BN56" s="94"/>
      <c r="BO56" s="1319"/>
      <c r="BP56" s="1388">
        <f>AC56</f>
        <v>0</v>
      </c>
      <c r="BQ56" s="99"/>
      <c r="BR56" s="132"/>
      <c r="BS56" s="99"/>
      <c r="BT56" s="385">
        <f>S56</f>
        <v>0</v>
      </c>
      <c r="BU56" s="131">
        <f>AG56</f>
        <v>0</v>
      </c>
      <c r="BV56" s="214"/>
      <c r="BW56" s="101"/>
      <c r="BX56" s="133"/>
      <c r="BY56" s="103"/>
      <c r="BZ56" s="104"/>
      <c r="CA56" s="105"/>
      <c r="CB56" s="133"/>
      <c r="CC56" s="102"/>
      <c r="CD56" s="103"/>
      <c r="CE56" s="534"/>
      <c r="CF56" s="912"/>
      <c r="CG56" s="659"/>
      <c r="CH56" s="1312"/>
      <c r="CI56" s="1312"/>
      <c r="CJ56" s="1312"/>
      <c r="CK56" s="1313"/>
      <c r="CL56" s="1315"/>
      <c r="CM56" s="1361"/>
      <c r="CN56" s="1361"/>
      <c r="CO56" s="1361"/>
      <c r="CP56" s="1322"/>
      <c r="CQ56" s="1322"/>
      <c r="CR56" s="1322"/>
      <c r="CS56" s="1313"/>
      <c r="CT56" s="1315"/>
      <c r="CU56" s="602"/>
    </row>
    <row r="57" spans="1:99" ht="30" hidden="1" customHeight="1" outlineLevel="1">
      <c r="A57" s="484"/>
      <c r="B57" s="505"/>
      <c r="C57" s="505"/>
      <c r="D57" s="62"/>
      <c r="E57" s="62"/>
      <c r="F57" s="247"/>
      <c r="G57" s="65"/>
      <c r="H57" s="65"/>
      <c r="I57" s="65"/>
      <c r="J57" s="65"/>
      <c r="K57" s="66"/>
      <c r="L57" s="453"/>
      <c r="M57" s="252"/>
      <c r="N57" s="252"/>
      <c r="O57" s="71"/>
      <c r="P57" s="71"/>
      <c r="Q57" s="71"/>
      <c r="R57" s="273"/>
      <c r="S57" s="63"/>
      <c r="T57" s="71"/>
      <c r="U57" s="71"/>
      <c r="V57" s="71"/>
      <c r="W57" s="71"/>
      <c r="X57" s="63"/>
      <c r="Y57" s="71"/>
      <c r="Z57" s="71"/>
      <c r="AA57" s="71"/>
      <c r="AB57" s="527"/>
      <c r="AC57" s="135"/>
      <c r="AD57" s="135"/>
      <c r="AE57" s="1723"/>
      <c r="AF57" s="969"/>
      <c r="AG57" s="75"/>
      <c r="AH57" s="276"/>
      <c r="AI57" s="77"/>
      <c r="AJ57" s="77"/>
      <c r="AK57" s="74"/>
      <c r="AL57" s="75"/>
      <c r="AM57" s="78"/>
      <c r="AN57" s="74"/>
      <c r="AO57" s="256"/>
      <c r="AP57" s="74"/>
      <c r="AQ57" s="112"/>
      <c r="AR57" s="270"/>
      <c r="AS57" s="270"/>
      <c r="AT57" s="270"/>
      <c r="AU57" s="285"/>
      <c r="AV57" s="538"/>
      <c r="AW57" s="539"/>
      <c r="AX57" s="311"/>
      <c r="AY57" s="63"/>
      <c r="AZ57" s="63"/>
      <c r="BA57" s="540"/>
      <c r="BB57" s="139"/>
      <c r="BC57" s="1427"/>
      <c r="BD57" s="527"/>
      <c r="BE57" s="528"/>
      <c r="BF57" s="123"/>
      <c r="BG57" s="123"/>
      <c r="BH57" s="123"/>
      <c r="BI57" s="123"/>
      <c r="BJ57" s="281"/>
      <c r="BK57" s="123"/>
      <c r="BL57" s="123"/>
      <c r="BM57" s="123"/>
      <c r="BN57" s="94"/>
      <c r="BO57" s="1319"/>
      <c r="BP57" s="1388">
        <f>AC57</f>
        <v>0</v>
      </c>
      <c r="BQ57" s="99"/>
      <c r="BR57" s="132"/>
      <c r="BS57" s="99"/>
      <c r="BT57" s="385">
        <f>S57</f>
        <v>0</v>
      </c>
      <c r="BU57" s="131">
        <f>AG57</f>
        <v>0</v>
      </c>
      <c r="BV57" s="214"/>
      <c r="BW57" s="101"/>
      <c r="BX57" s="133"/>
      <c r="BY57" s="103"/>
      <c r="BZ57" s="104"/>
      <c r="CA57" s="105"/>
      <c r="CB57" s="133"/>
      <c r="CC57" s="102"/>
      <c r="CD57" s="103"/>
      <c r="CE57" s="534"/>
      <c r="CF57" s="912"/>
      <c r="CG57" s="659"/>
      <c r="CH57" s="1312"/>
      <c r="CI57" s="1312"/>
      <c r="CJ57" s="1312"/>
      <c r="CK57" s="1313"/>
      <c r="CL57" s="1315"/>
      <c r="CM57" s="1361"/>
      <c r="CN57" s="1361"/>
      <c r="CO57" s="1361"/>
      <c r="CP57" s="1322"/>
      <c r="CQ57" s="1322"/>
      <c r="CR57" s="1322"/>
      <c r="CS57" s="1313"/>
      <c r="CT57" s="1315"/>
      <c r="CU57" s="602"/>
    </row>
    <row r="58" spans="1:99" ht="30" hidden="1" customHeight="1" outlineLevel="1">
      <c r="A58" s="484"/>
      <c r="B58" s="505"/>
      <c r="C58" s="505"/>
      <c r="D58" s="62"/>
      <c r="E58" s="62"/>
      <c r="F58" s="270"/>
      <c r="G58" s="65"/>
      <c r="H58" s="65"/>
      <c r="I58" s="65"/>
      <c r="J58" s="65"/>
      <c r="K58" s="66"/>
      <c r="L58" s="453"/>
      <c r="M58" s="252"/>
      <c r="N58" s="252"/>
      <c r="O58" s="71"/>
      <c r="P58" s="71"/>
      <c r="Q58" s="71"/>
      <c r="R58" s="273"/>
      <c r="S58" s="63"/>
      <c r="T58" s="71"/>
      <c r="U58" s="71"/>
      <c r="V58" s="71"/>
      <c r="W58" s="71"/>
      <c r="X58" s="63"/>
      <c r="Y58" s="71"/>
      <c r="Z58" s="71"/>
      <c r="AA58" s="71"/>
      <c r="AB58" s="527"/>
      <c r="AC58" s="73"/>
      <c r="AD58" s="275"/>
      <c r="AE58" s="1730"/>
      <c r="AF58" s="969"/>
      <c r="AG58" s="75"/>
      <c r="AH58" s="276"/>
      <c r="AI58" s="77"/>
      <c r="AJ58" s="77"/>
      <c r="AK58" s="74"/>
      <c r="AL58" s="75"/>
      <c r="AM58" s="78"/>
      <c r="AN58" s="74"/>
      <c r="AO58" s="256"/>
      <c r="AP58" s="74"/>
      <c r="AQ58" s="112"/>
      <c r="AR58" s="270"/>
      <c r="AS58" s="270"/>
      <c r="AT58" s="270"/>
      <c r="AU58" s="285"/>
      <c r="AV58" s="538"/>
      <c r="AW58" s="539"/>
      <c r="AX58" s="311"/>
      <c r="AY58" s="63"/>
      <c r="AZ58" s="63"/>
      <c r="BA58" s="540"/>
      <c r="BB58" s="139"/>
      <c r="BC58" s="1427"/>
      <c r="BD58" s="527"/>
      <c r="BE58" s="528"/>
      <c r="BF58" s="530"/>
      <c r="BG58" s="530"/>
      <c r="BH58" s="530"/>
      <c r="BI58" s="530"/>
      <c r="BJ58" s="531"/>
      <c r="BK58" s="530"/>
      <c r="BL58" s="530"/>
      <c r="BM58" s="530"/>
      <c r="BN58" s="94"/>
      <c r="BO58" s="1319"/>
      <c r="BP58" s="1388">
        <f>AC58</f>
        <v>0</v>
      </c>
      <c r="BQ58" s="99"/>
      <c r="BR58" s="132"/>
      <c r="BS58" s="99"/>
      <c r="BT58" s="385">
        <f>S58</f>
        <v>0</v>
      </c>
      <c r="BU58" s="131">
        <f>AG58</f>
        <v>0</v>
      </c>
      <c r="BV58" s="214"/>
      <c r="BW58" s="101"/>
      <c r="BX58" s="133"/>
      <c r="BY58" s="103"/>
      <c r="BZ58" s="104"/>
      <c r="CA58" s="105"/>
      <c r="CB58" s="133"/>
      <c r="CC58" s="102"/>
      <c r="CD58" s="103"/>
      <c r="CE58" s="534"/>
      <c r="CF58" s="912"/>
      <c r="CG58" s="659"/>
      <c r="CH58" s="1312"/>
      <c r="CI58" s="1312"/>
      <c r="CJ58" s="1312"/>
      <c r="CK58" s="1313"/>
      <c r="CL58" s="1315"/>
      <c r="CM58" s="1361"/>
      <c r="CN58" s="1361"/>
      <c r="CO58" s="1361"/>
      <c r="CP58" s="1322"/>
      <c r="CQ58" s="1322"/>
      <c r="CR58" s="1322"/>
      <c r="CS58" s="1313"/>
      <c r="CT58" s="1315"/>
      <c r="CU58" s="602"/>
    </row>
    <row r="59" spans="1:99" ht="30" hidden="1" customHeight="1" outlineLevel="1">
      <c r="A59" s="484"/>
      <c r="B59" s="505"/>
      <c r="C59" s="505"/>
      <c r="D59" s="62"/>
      <c r="E59" s="62"/>
      <c r="F59" s="270"/>
      <c r="G59" s="65"/>
      <c r="H59" s="80"/>
      <c r="I59" s="80"/>
      <c r="J59" s="80"/>
      <c r="K59" s="271"/>
      <c r="L59" s="380"/>
      <c r="M59" s="67"/>
      <c r="N59" s="68"/>
      <c r="O59" s="70"/>
      <c r="P59" s="70"/>
      <c r="Q59" s="70"/>
      <c r="R59" s="249"/>
      <c r="S59" s="64"/>
      <c r="T59" s="70"/>
      <c r="U59" s="70"/>
      <c r="V59" s="70"/>
      <c r="W59" s="70"/>
      <c r="X59" s="64"/>
      <c r="Y59" s="70"/>
      <c r="Z59" s="70"/>
      <c r="AA59" s="70"/>
      <c r="AB59" s="527"/>
      <c r="AC59" s="73"/>
      <c r="AD59" s="275"/>
      <c r="AE59" s="1730"/>
      <c r="AF59" s="971"/>
      <c r="AG59" s="324"/>
      <c r="AH59" s="541"/>
      <c r="AI59" s="288"/>
      <c r="AJ59" s="288"/>
      <c r="AK59" s="81"/>
      <c r="AL59" s="324"/>
      <c r="AM59" s="542"/>
      <c r="AN59" s="81"/>
      <c r="AO59" s="543"/>
      <c r="AP59" s="81"/>
      <c r="AQ59" s="67"/>
      <c r="AR59" s="247"/>
      <c r="AS59" s="247"/>
      <c r="AT59" s="247"/>
      <c r="AU59" s="317"/>
      <c r="AV59" s="258"/>
      <c r="AW59" s="544"/>
      <c r="AX59" s="84"/>
      <c r="AY59" s="64"/>
      <c r="AZ59" s="64"/>
      <c r="BA59" s="515"/>
      <c r="BB59" s="516"/>
      <c r="BC59" s="1413"/>
      <c r="BD59" s="375"/>
      <c r="BE59" s="545"/>
      <c r="BF59" s="123"/>
      <c r="BG59" s="123"/>
      <c r="BH59" s="123"/>
      <c r="BI59" s="123"/>
      <c r="BJ59" s="281"/>
      <c r="BK59" s="123"/>
      <c r="BL59" s="123"/>
      <c r="BM59" s="123"/>
      <c r="BN59" s="94"/>
      <c r="BO59" s="1319"/>
      <c r="BP59" s="1388">
        <f>AC59</f>
        <v>0</v>
      </c>
      <c r="BQ59" s="99"/>
      <c r="BR59" s="132"/>
      <c r="BS59" s="99"/>
      <c r="BT59" s="385">
        <f>S59</f>
        <v>0</v>
      </c>
      <c r="BU59" s="131">
        <f>AG59</f>
        <v>0</v>
      </c>
      <c r="BV59" s="214"/>
      <c r="BW59" s="101"/>
      <c r="BX59" s="133"/>
      <c r="BY59" s="103"/>
      <c r="BZ59" s="104"/>
      <c r="CA59" s="105"/>
      <c r="CB59" s="133"/>
      <c r="CC59" s="102"/>
      <c r="CD59" s="103"/>
      <c r="CE59" s="534"/>
      <c r="CF59" s="912"/>
      <c r="CG59" s="657"/>
      <c r="CH59" s="1312"/>
      <c r="CI59" s="1312"/>
      <c r="CJ59" s="1312"/>
      <c r="CK59" s="1378"/>
      <c r="CL59" s="1378"/>
      <c r="CM59" s="1378"/>
      <c r="CN59" s="1378"/>
      <c r="CO59" s="1378"/>
      <c r="CP59" s="1322"/>
      <c r="CQ59" s="1322"/>
      <c r="CR59" s="1322"/>
      <c r="CS59" s="1378"/>
      <c r="CT59" s="1378"/>
      <c r="CU59" s="602"/>
    </row>
    <row r="60" spans="1:99" ht="30" hidden="1" customHeight="1" outlineLevel="1">
      <c r="A60" s="325" t="s">
        <v>91</v>
      </c>
      <c r="B60" s="326"/>
      <c r="C60" s="327"/>
      <c r="D60" s="328"/>
      <c r="E60" s="328"/>
      <c r="F60" s="328"/>
      <c r="G60" s="329">
        <f>SUM(G48:G59)</f>
        <v>127.5</v>
      </c>
      <c r="H60" s="329">
        <f>SUM(H48:H59)</f>
        <v>127.5</v>
      </c>
      <c r="I60" s="329"/>
      <c r="J60" s="329"/>
      <c r="K60" s="329"/>
      <c r="L60" s="153">
        <f>SUMIF(A55:A59,$B$1,L55:L59)</f>
        <v>0</v>
      </c>
      <c r="M60" s="153">
        <f>SUMIF(B55:B59,$B$1,M55:M59)</f>
        <v>0</v>
      </c>
      <c r="N60" s="152"/>
      <c r="O60" s="152"/>
      <c r="P60" s="152"/>
      <c r="Q60" s="152"/>
      <c r="R60" s="152"/>
      <c r="S60" s="152"/>
      <c r="T60" s="152"/>
      <c r="U60" s="151"/>
      <c r="V60" s="151"/>
      <c r="W60" s="151"/>
      <c r="X60" s="152"/>
      <c r="Y60" s="152"/>
      <c r="Z60" s="151"/>
      <c r="AA60" s="151"/>
      <c r="AB60" s="328"/>
      <c r="AC60" s="331"/>
      <c r="AD60" s="332"/>
      <c r="AE60" s="1725"/>
      <c r="AF60" s="546"/>
      <c r="AG60" s="334"/>
      <c r="AH60" s="1393"/>
      <c r="AI60" s="333"/>
      <c r="AJ60" s="333"/>
      <c r="AK60" s="329"/>
      <c r="AL60" s="334"/>
      <c r="AM60" s="336">
        <f>COUNTA(AM55:AM59)</f>
        <v>0</v>
      </c>
      <c r="AN60" s="546">
        <f>SUM(AN55:AN59)</f>
        <v>0</v>
      </c>
      <c r="AO60" s="152">
        <f>SUM(AO55:AO59)</f>
        <v>0</v>
      </c>
      <c r="AP60" s="337"/>
      <c r="AQ60" s="328"/>
      <c r="AR60" s="328"/>
      <c r="AS60" s="328"/>
      <c r="AT60" s="328"/>
      <c r="AU60" s="328"/>
      <c r="AV60" s="328"/>
      <c r="AW60" s="328"/>
      <c r="AX60" s="338">
        <f>SUM(AX55:AX59)</f>
        <v>0</v>
      </c>
      <c r="AY60" s="338">
        <f>SUM(AY55:AY59)</f>
        <v>0</v>
      </c>
      <c r="AZ60" s="338">
        <f>SUM(AZ55:AZ59)</f>
        <v>0</v>
      </c>
      <c r="BA60" s="221" t="str">
        <f>IF(COUNT(BA55:BA59)=0,"-",AVERAGE(BA55:BA59))</f>
        <v>-</v>
      </c>
      <c r="BB60" s="1394"/>
      <c r="BC60" s="341"/>
      <c r="BD60" s="340"/>
      <c r="BE60" s="341"/>
      <c r="BF60" s="547"/>
      <c r="BG60" s="547"/>
      <c r="BH60" s="547"/>
      <c r="BI60" s="547"/>
      <c r="BJ60" s="547"/>
      <c r="BK60" s="547"/>
      <c r="BL60" s="547"/>
      <c r="BM60" s="547"/>
      <c r="BN60" s="163" t="e">
        <f>SUM(BN52:BN59)</f>
        <v>#VALUE!</v>
      </c>
      <c r="BO60" s="149" t="e">
        <f>SUM(BO52:BO59)</f>
        <v>#VALUE!</v>
      </c>
      <c r="BP60" s="1421">
        <f>COUNTA(BP48:BP59)</f>
        <v>8</v>
      </c>
      <c r="BQ60" s="1896">
        <f>SUM(BQ48:BQ51,BQ55:BQ59)</f>
        <v>39</v>
      </c>
      <c r="BR60" s="1890">
        <f>SUM(BR48:BR51,BR55:BR59)</f>
        <v>0</v>
      </c>
      <c r="BS60" s="498"/>
      <c r="BT60" s="496">
        <f>COUNTA(BT48:BT59)</f>
        <v>9</v>
      </c>
      <c r="BU60" s="462">
        <f>SUM(BU48:BU59)</f>
        <v>0</v>
      </c>
      <c r="BV60" s="463">
        <f>SUM(BV48:BV59)</f>
        <v>1.5</v>
      </c>
      <c r="BW60" s="171"/>
      <c r="BX60" s="548"/>
      <c r="BY60" s="173">
        <f>AM60</f>
        <v>0</v>
      </c>
      <c r="BZ60" s="173">
        <f>COUNTIF(BZ55:BZ59,"=0")</f>
        <v>0</v>
      </c>
      <c r="CA60" s="174">
        <f>SUM(COUNTIF(BZ55:BZ59,"&lt;0"),COUNTIF(BZ55:BZ59,"&gt;0"))</f>
        <v>0</v>
      </c>
      <c r="CB60" s="225" t="e">
        <f>COUNTIF(#REF!,"1")</f>
        <v>#REF!</v>
      </c>
      <c r="CC60" s="226" t="e">
        <f>SUM(#REF!)</f>
        <v>#REF!</v>
      </c>
      <c r="CD60" s="227">
        <f>COUNTIF(CD52:CD59,"1")</f>
        <v>0</v>
      </c>
      <c r="CE60" s="228">
        <f>SUM(CE52:CE59)</f>
        <v>0</v>
      </c>
      <c r="CF60" s="1397"/>
      <c r="CG60" s="657"/>
      <c r="CH60" s="1312"/>
      <c r="CI60" s="1312"/>
      <c r="CJ60" s="1312"/>
      <c r="CK60" s="1379"/>
      <c r="CL60" s="1378"/>
      <c r="CM60" s="1379"/>
      <c r="CN60" s="1335"/>
      <c r="CO60" s="1379"/>
      <c r="CP60" s="1322"/>
      <c r="CQ60" s="1322"/>
      <c r="CR60" s="1322"/>
      <c r="CS60" s="1379"/>
      <c r="CT60" s="1378"/>
      <c r="CU60" s="602"/>
    </row>
    <row r="61" spans="1:99" ht="30" hidden="1" customHeight="1" outlineLevel="1">
      <c r="A61" s="179" t="s">
        <v>89</v>
      </c>
      <c r="B61" s="348">
        <f>COUNT(A48:A59)</f>
        <v>1</v>
      </c>
      <c r="C61" s="181"/>
      <c r="D61" s="182"/>
      <c r="E61" s="182"/>
      <c r="F61" s="182"/>
      <c r="G61" s="184">
        <f>SUM(G60,G53)</f>
        <v>170</v>
      </c>
      <c r="H61" s="184">
        <f>SUM(H60,H53)</f>
        <v>170</v>
      </c>
      <c r="I61" s="184">
        <f>SUM(I60,I52)</f>
        <v>1105</v>
      </c>
      <c r="J61" s="184">
        <f>SUM(J60,J53)</f>
        <v>1105</v>
      </c>
      <c r="K61" s="184"/>
      <c r="L61" s="184"/>
      <c r="M61" s="184"/>
      <c r="N61" s="184"/>
      <c r="O61" s="184"/>
      <c r="P61" s="184"/>
      <c r="Q61" s="184"/>
      <c r="R61" s="185"/>
      <c r="S61" s="183"/>
      <c r="T61" s="185"/>
      <c r="U61" s="182"/>
      <c r="V61" s="182"/>
      <c r="W61" s="182"/>
      <c r="X61" s="183"/>
      <c r="Y61" s="185"/>
      <c r="Z61" s="182"/>
      <c r="AA61" s="182"/>
      <c r="AB61" s="182"/>
      <c r="AC61" s="186"/>
      <c r="AD61" s="186"/>
      <c r="AE61" s="1719"/>
      <c r="AF61" s="184"/>
      <c r="AG61" s="191"/>
      <c r="AH61" s="186"/>
      <c r="AI61" s="186"/>
      <c r="AJ61" s="186"/>
      <c r="AK61" s="184"/>
      <c r="AL61" s="184"/>
      <c r="AM61" s="182">
        <f>SUM(AM60,AM52)</f>
        <v>0</v>
      </c>
      <c r="AN61" s="184">
        <f>SUM(AN60,AN52)</f>
        <v>0</v>
      </c>
      <c r="AO61" s="182"/>
      <c r="AP61" s="187"/>
      <c r="AQ61" s="182"/>
      <c r="AR61" s="182"/>
      <c r="AS61" s="182"/>
      <c r="AT61" s="182"/>
      <c r="AU61" s="182"/>
      <c r="AV61" s="182"/>
      <c r="AW61" s="182"/>
      <c r="AX61" s="188">
        <f>SUM(AX60,AX52)</f>
        <v>0</v>
      </c>
      <c r="AY61" s="188">
        <f>SUM(AY60,AY52)</f>
        <v>0</v>
      </c>
      <c r="AZ61" s="188">
        <f>SUM(AZ60,AZ52)</f>
        <v>0</v>
      </c>
      <c r="BA61" s="229" t="str">
        <f>IF(COUNT(BA48:BA51,BA55:BA59)=0,"-",AVERAGE(BA48:BA51,BA55:BA59))</f>
        <v>-</v>
      </c>
      <c r="BB61" s="1428">
        <f>+BB53</f>
        <v>-1105</v>
      </c>
      <c r="BC61" s="476"/>
      <c r="BD61" s="535"/>
      <c r="BE61" s="476"/>
      <c r="BF61" s="476"/>
      <c r="BG61" s="476"/>
      <c r="BH61" s="476"/>
      <c r="BI61" s="476"/>
      <c r="BJ61" s="476"/>
      <c r="BK61" s="476"/>
      <c r="BL61" s="476"/>
      <c r="BM61" s="476"/>
      <c r="BN61" s="549"/>
      <c r="BO61" s="230"/>
      <c r="BP61" s="1422"/>
      <c r="BQ61" s="1897"/>
      <c r="BR61" s="473"/>
      <c r="BS61" s="474">
        <f>SUMIF(BS48:BS59,"",BR48:BR59)</f>
        <v>0</v>
      </c>
      <c r="BT61" s="471"/>
      <c r="BU61" s="472"/>
      <c r="BV61" s="473"/>
      <c r="BW61" s="360"/>
      <c r="BX61" s="235"/>
      <c r="BY61" s="197">
        <f>SUM(BY55:BY59)</f>
        <v>0</v>
      </c>
      <c r="BZ61" s="197">
        <f>SUMIF(BZ55:BZ59,"=0",CA55:CA59)</f>
        <v>0</v>
      </c>
      <c r="CA61" s="198">
        <f>SUMIF(BZ55:BZ59,"&lt;&gt;0",CA55:CA59)</f>
        <v>0</v>
      </c>
      <c r="CB61" s="477"/>
      <c r="CC61" s="308"/>
      <c r="CD61" s="308"/>
      <c r="CE61" s="230"/>
      <c r="CF61" s="744"/>
      <c r="CG61" s="602"/>
      <c r="CH61" s="1312"/>
      <c r="CI61" s="1312"/>
      <c r="CJ61" s="1312"/>
      <c r="CK61" s="1313"/>
      <c r="CL61" s="1315"/>
      <c r="CM61" s="1361"/>
      <c r="CN61" s="1361"/>
      <c r="CO61" s="1361"/>
      <c r="CP61" s="1322"/>
      <c r="CQ61" s="1322"/>
      <c r="CR61" s="1322"/>
      <c r="CS61" s="1313"/>
      <c r="CT61" s="1315"/>
      <c r="CU61" s="602"/>
    </row>
    <row r="62" spans="1:99" ht="30" hidden="1" customHeight="1" outlineLevel="1">
      <c r="A62" s="585"/>
      <c r="B62" s="586"/>
      <c r="C62" s="586"/>
      <c r="D62" s="586"/>
      <c r="E62" s="586"/>
      <c r="F62" s="586"/>
      <c r="G62" s="587"/>
      <c r="H62" s="587"/>
      <c r="I62" s="587"/>
      <c r="J62" s="587"/>
      <c r="K62" s="587"/>
      <c r="L62" s="587"/>
      <c r="M62" s="587"/>
      <c r="N62" s="587"/>
      <c r="O62" s="587"/>
      <c r="P62" s="587"/>
      <c r="Q62" s="587"/>
      <c r="R62" s="587"/>
      <c r="S62" s="588"/>
      <c r="T62" s="587"/>
      <c r="U62" s="586"/>
      <c r="V62" s="586"/>
      <c r="W62" s="586"/>
      <c r="X62" s="588"/>
      <c r="Y62" s="587"/>
      <c r="Z62" s="586"/>
      <c r="AA62" s="586"/>
      <c r="AB62" s="586"/>
      <c r="AC62" s="589"/>
      <c r="AD62" s="589"/>
      <c r="AE62" s="1732"/>
      <c r="AF62" s="587"/>
      <c r="AG62" s="591"/>
      <c r="AH62" s="589"/>
      <c r="AI62" s="589"/>
      <c r="AJ62" s="589"/>
      <c r="AK62" s="587"/>
      <c r="AL62" s="587"/>
      <c r="AM62" s="586"/>
      <c r="AN62" s="586"/>
      <c r="AO62" s="586"/>
      <c r="AP62" s="588"/>
      <c r="AQ62" s="586"/>
      <c r="AR62" s="586"/>
      <c r="AS62" s="586"/>
      <c r="AT62" s="586"/>
      <c r="AU62" s="586"/>
      <c r="AV62" s="586"/>
      <c r="AW62" s="586"/>
      <c r="AX62" s="588"/>
      <c r="AY62" s="588"/>
      <c r="AZ62" s="588"/>
      <c r="BA62" s="590"/>
      <c r="BB62" s="587"/>
      <c r="BC62" s="592"/>
      <c r="BD62" s="593"/>
      <c r="BE62" s="593"/>
      <c r="BF62" s="593"/>
      <c r="BG62" s="593"/>
      <c r="BH62" s="593"/>
      <c r="BI62" s="593"/>
      <c r="BJ62" s="593"/>
      <c r="BK62" s="593"/>
      <c r="BL62" s="593"/>
      <c r="BM62" s="593"/>
      <c r="BN62" s="594"/>
      <c r="BO62" s="594"/>
      <c r="BP62" s="1482"/>
      <c r="BQ62" s="1898"/>
      <c r="BR62" s="597"/>
      <c r="BS62" s="598"/>
      <c r="BT62" s="599"/>
      <c r="BU62" s="600"/>
      <c r="BV62" s="600"/>
      <c r="BW62" s="601"/>
      <c r="BX62" s="602"/>
      <c r="BY62" s="603"/>
      <c r="BZ62" s="603"/>
      <c r="CA62" s="604"/>
      <c r="CB62" s="605"/>
      <c r="CC62" s="605"/>
      <c r="CD62" s="605"/>
      <c r="CE62" s="605"/>
      <c r="CF62" s="1483"/>
      <c r="CG62" s="657"/>
      <c r="CH62" s="1312"/>
      <c r="CI62" s="1312"/>
      <c r="CJ62" s="1312"/>
      <c r="CK62" s="1379"/>
      <c r="CL62" s="1378"/>
      <c r="CM62" s="1379"/>
      <c r="CN62" s="1335"/>
      <c r="CO62" s="1379"/>
      <c r="CP62" s="1322"/>
      <c r="CQ62" s="1322"/>
      <c r="CR62" s="1322"/>
      <c r="CS62" s="1379"/>
      <c r="CT62" s="1378"/>
      <c r="CU62" s="602"/>
    </row>
    <row r="63" spans="1:99" ht="30" hidden="1" customHeight="1" outlineLevel="1" collapsed="1">
      <c r="A63" s="2143" t="s">
        <v>231</v>
      </c>
      <c r="B63" s="2143"/>
      <c r="C63" s="2143"/>
      <c r="D63" s="2143"/>
      <c r="E63" s="2143"/>
      <c r="F63" s="2143"/>
      <c r="G63" s="2143"/>
      <c r="H63" s="2143"/>
      <c r="I63" s="362"/>
      <c r="J63" s="362"/>
      <c r="K63" s="362"/>
      <c r="L63" s="362"/>
      <c r="M63" s="362"/>
      <c r="N63" s="362"/>
      <c r="O63" s="362"/>
      <c r="P63" s="362"/>
      <c r="Q63" s="362"/>
      <c r="R63" s="362"/>
      <c r="S63" s="362"/>
      <c r="T63" s="362"/>
      <c r="U63" s="362"/>
      <c r="V63" s="362"/>
      <c r="W63" s="362"/>
      <c r="X63" s="362"/>
      <c r="Y63" s="362"/>
      <c r="Z63" s="362"/>
      <c r="AA63" s="362"/>
      <c r="AB63" s="362"/>
      <c r="AC63" s="362"/>
      <c r="AD63" s="362"/>
      <c r="AE63" s="1727"/>
      <c r="AF63" s="362"/>
      <c r="AG63" s="363"/>
      <c r="AH63" s="362"/>
      <c r="AI63" s="362"/>
      <c r="AJ63" s="362"/>
      <c r="AK63" s="362"/>
      <c r="AL63" s="362"/>
      <c r="AM63" s="362"/>
      <c r="AN63" s="362"/>
      <c r="AO63" s="362"/>
      <c r="AP63" s="362"/>
      <c r="AQ63" s="362"/>
      <c r="AR63" s="362"/>
      <c r="AS63" s="362"/>
      <c r="AT63" s="362"/>
      <c r="AU63" s="362"/>
      <c r="AV63" s="362"/>
      <c r="AW63" s="362"/>
      <c r="AX63" s="362"/>
      <c r="AY63" s="362"/>
      <c r="AZ63" s="362"/>
      <c r="BA63" s="362"/>
      <c r="BB63" s="362"/>
      <c r="BC63" s="363"/>
      <c r="BD63" s="364"/>
      <c r="BE63" s="364"/>
      <c r="BF63" s="364"/>
      <c r="BG63" s="364"/>
      <c r="BH63" s="364"/>
      <c r="BI63" s="364"/>
      <c r="BJ63" s="364"/>
      <c r="BK63" s="364"/>
      <c r="BL63" s="364"/>
      <c r="BM63" s="364"/>
      <c r="BN63" s="365"/>
      <c r="BO63" s="365"/>
      <c r="BP63" s="1412"/>
      <c r="BQ63" s="1895"/>
      <c r="BR63" s="367"/>
      <c r="BS63" s="608"/>
      <c r="BT63" s="609"/>
      <c r="BU63" s="610"/>
      <c r="BV63" s="608"/>
      <c r="BW63" s="52"/>
      <c r="BX63" s="53"/>
      <c r="BY63" s="53"/>
      <c r="BZ63" s="53"/>
      <c r="CA63" s="206"/>
      <c r="CB63" s="482"/>
      <c r="CC63" s="478"/>
      <c r="CD63" s="478"/>
      <c r="CE63" s="478"/>
      <c r="CF63" s="482"/>
      <c r="CG63" s="602"/>
      <c r="CH63" s="1312"/>
      <c r="CI63" s="1312"/>
      <c r="CJ63" s="1312"/>
      <c r="CK63" s="1313"/>
      <c r="CL63" s="1315"/>
      <c r="CM63" s="1361"/>
      <c r="CN63" s="1361"/>
      <c r="CO63" s="1361"/>
      <c r="CP63" s="1322"/>
      <c r="CQ63" s="1322"/>
      <c r="CR63" s="1322"/>
      <c r="CS63" s="1313"/>
      <c r="CT63" s="1315"/>
      <c r="CU63" s="602"/>
    </row>
    <row r="64" spans="1:99" ht="30" hidden="1" customHeight="1" outlineLevel="1">
      <c r="A64" s="310"/>
      <c r="B64" s="247"/>
      <c r="C64" s="247"/>
      <c r="D64" s="612"/>
      <c r="E64" s="248"/>
      <c r="F64" s="247"/>
      <c r="G64" s="80"/>
      <c r="H64" s="80"/>
      <c r="I64" s="80"/>
      <c r="J64" s="65"/>
      <c r="K64" s="66"/>
      <c r="L64" s="252"/>
      <c r="M64" s="252"/>
      <c r="N64" s="252"/>
      <c r="O64" s="69"/>
      <c r="P64" s="71"/>
      <c r="Q64" s="71"/>
      <c r="R64" s="66"/>
      <c r="S64" s="64"/>
      <c r="T64" s="70"/>
      <c r="U64" s="372"/>
      <c r="V64" s="70"/>
      <c r="W64" s="70"/>
      <c r="X64" s="64"/>
      <c r="Y64" s="70"/>
      <c r="Z64" s="70"/>
      <c r="AA64" s="70"/>
      <c r="AB64" s="274" t="s">
        <v>110</v>
      </c>
      <c r="AC64" s="319"/>
      <c r="AD64" s="288"/>
      <c r="AE64" s="1728"/>
      <c r="AF64" s="78"/>
      <c r="AG64" s="75" t="str">
        <f>IF(S64="","",AF64*S64)</f>
        <v/>
      </c>
      <c r="AH64" s="319"/>
      <c r="AI64" s="288"/>
      <c r="AJ64" s="77"/>
      <c r="AK64" s="74"/>
      <c r="AL64" s="75"/>
      <c r="AM64" s="78"/>
      <c r="AN64" s="74"/>
      <c r="AO64" s="63"/>
      <c r="AP64" s="74"/>
      <c r="AQ64" s="112"/>
      <c r="AR64" s="68"/>
      <c r="AS64" s="68"/>
      <c r="AT64" s="68"/>
      <c r="AU64" s="68"/>
      <c r="AV64" s="258"/>
      <c r="AW64" s="843"/>
      <c r="AX64" s="84" t="str">
        <f>IF(AN64&lt;1,"-",AN64)</f>
        <v>-</v>
      </c>
      <c r="AY64" s="64" t="str">
        <f>IF(AX64="-","-",($B$2-AM64+1)*AX64)</f>
        <v>-</v>
      </c>
      <c r="AZ64" s="63" t="str">
        <f>IF(AX64="-","-",AX64-H64)</f>
        <v>-</v>
      </c>
      <c r="BA64" s="312" t="str">
        <f>IF(AX64="-","-",AX64/H64)</f>
        <v>-</v>
      </c>
      <c r="BB64" s="1317">
        <f>IF(AN64&lt;1,IF($B$2&gt;=A64,($A$2-A64+1)*-1*H64,"-"),AX64*($A$2-AM64+1)-H64*($A$2-A64+1))</f>
        <v>0</v>
      </c>
      <c r="BC64" s="1484"/>
      <c r="BD64" s="703"/>
      <c r="BE64" s="513"/>
      <c r="BF64" s="93"/>
      <c r="BG64" s="91"/>
      <c r="BH64" s="93"/>
      <c r="BI64" s="748"/>
      <c r="BJ64" s="748"/>
      <c r="BK64" s="748"/>
      <c r="BL64" s="91"/>
      <c r="BM64" s="91"/>
      <c r="BN64" s="94"/>
      <c r="BO64" s="1319"/>
      <c r="BP64" s="1485">
        <f t="shared" ref="BP64:BP69" si="18">AC64</f>
        <v>0</v>
      </c>
      <c r="BQ64" s="621"/>
      <c r="BR64" s="646"/>
      <c r="BS64" s="621"/>
      <c r="BT64" s="284">
        <f t="shared" ref="BT64:BT69" si="19">S64</f>
        <v>0</v>
      </c>
      <c r="BU64" s="214" t="str">
        <f t="shared" ref="BU64:BU69" si="20">AG64</f>
        <v/>
      </c>
      <c r="BV64" s="214" t="str">
        <f>IF(AE64&gt;$CC$7,S64,IF(AE64="перех",(S64),"-"))</f>
        <v>-</v>
      </c>
      <c r="BW64" s="622"/>
      <c r="BX64" s="623"/>
      <c r="BY64" s="624"/>
      <c r="BZ64" s="625"/>
      <c r="CA64" s="626"/>
      <c r="CB64" s="627"/>
      <c r="CC64" s="107"/>
      <c r="CD64" s="108"/>
      <c r="CE64" s="109"/>
      <c r="CF64" s="1320"/>
      <c r="CG64" s="659"/>
      <c r="CH64" s="1322">
        <v>2.4573066024769216E-2</v>
      </c>
      <c r="CI64" s="1322">
        <v>1.6098431593487583E-3</v>
      </c>
      <c r="CJ64" s="1322">
        <v>2.6182909184117975E-2</v>
      </c>
      <c r="CK64" s="1313">
        <f t="shared" ref="CK64:CK69" si="21">IF($BP64&lt;=$B$1,T64-T64*CH64,T64)</f>
        <v>0</v>
      </c>
      <c r="CL64" s="1321">
        <f t="shared" ref="CL64:CL69" si="22">IF($BP64&lt;=$B$1,S64-S64*CJ64,S64)</f>
        <v>0</v>
      </c>
      <c r="CM64" s="1321">
        <f t="shared" ref="CM64:CM69" si="23">IF(CK64=0,M64-S64,($N64-$CK64)*$M64/$N64)</f>
        <v>0</v>
      </c>
      <c r="CN64" s="1321">
        <f t="shared" ref="CN64:CN69" si="24">IF(CK64=0,0,-($CL64-$CK64*$M64/$N64))</f>
        <v>0</v>
      </c>
      <c r="CO64" s="1321">
        <f t="shared" ref="CO64:CO69" si="25">CM64+CN64</f>
        <v>0</v>
      </c>
      <c r="CP64" s="1322">
        <v>1.2788029781702123E-2</v>
      </c>
      <c r="CQ64" s="1322">
        <v>7.6035270394966201E-3</v>
      </c>
      <c r="CR64" s="1322">
        <v>2.0391556821198743E-2</v>
      </c>
      <c r="CS64" s="1313">
        <f t="shared" ref="CS64:CS69" si="26">IF($A64&lt;=$B$1,N64-N64*CP64,N64)</f>
        <v>0</v>
      </c>
      <c r="CT64" s="1321">
        <f t="shared" ref="CT64:CT69" si="27">IF($A64&lt;=$B$1,M64-M64*CR64,M64)</f>
        <v>0</v>
      </c>
      <c r="CU64" s="602"/>
    </row>
    <row r="65" spans="1:99" ht="30" hidden="1" customHeight="1" outlineLevel="1">
      <c r="A65" s="310"/>
      <c r="B65" s="247"/>
      <c r="C65" s="247"/>
      <c r="D65" s="61"/>
      <c r="E65" s="62"/>
      <c r="F65" s="247"/>
      <c r="G65" s="80"/>
      <c r="H65" s="80"/>
      <c r="I65" s="80"/>
      <c r="J65" s="65"/>
      <c r="K65" s="66"/>
      <c r="L65" s="252"/>
      <c r="M65" s="68"/>
      <c r="N65" s="68"/>
      <c r="O65" s="372"/>
      <c r="P65" s="70"/>
      <c r="Q65" s="70"/>
      <c r="R65" s="66"/>
      <c r="S65" s="64"/>
      <c r="T65" s="70"/>
      <c r="U65" s="372"/>
      <c r="V65" s="70"/>
      <c r="W65" s="70"/>
      <c r="X65" s="64"/>
      <c r="Y65" s="70"/>
      <c r="Z65" s="70"/>
      <c r="AA65" s="70"/>
      <c r="AB65" s="274" t="s">
        <v>110</v>
      </c>
      <c r="AC65" s="319"/>
      <c r="AD65" s="288"/>
      <c r="AE65" s="1728">
        <f>AD65</f>
        <v>0</v>
      </c>
      <c r="AF65" s="78">
        <f>IF(AC65="переход","",AD65-AC65)</f>
        <v>0</v>
      </c>
      <c r="AG65" s="75" t="str">
        <f>IF(S65="","",AF65*S65)</f>
        <v/>
      </c>
      <c r="AH65" s="319"/>
      <c r="AI65" s="288"/>
      <c r="AJ65" s="77"/>
      <c r="AK65" s="74"/>
      <c r="AL65" s="75"/>
      <c r="AM65" s="78"/>
      <c r="AN65" s="74"/>
      <c r="AO65" s="63"/>
      <c r="AP65" s="74"/>
      <c r="AQ65" s="80"/>
      <c r="AR65" s="68"/>
      <c r="AS65" s="68"/>
      <c r="AT65" s="68"/>
      <c r="AU65" s="68"/>
      <c r="AV65" s="258"/>
      <c r="AW65" s="843"/>
      <c r="AX65" s="84" t="str">
        <f>IF(AN65&lt;1,"-",AN65)</f>
        <v>-</v>
      </c>
      <c r="AY65" s="64" t="str">
        <f>IF(AX65="-","-",($B$2-AM65+1)*AX65)</f>
        <v>-</v>
      </c>
      <c r="AZ65" s="63" t="str">
        <f>IF(AX65="-","-",AX65-H65)</f>
        <v>-</v>
      </c>
      <c r="BA65" s="312" t="str">
        <f>IF(AX65="-","-",AX65/H65)</f>
        <v>-</v>
      </c>
      <c r="BB65" s="1317">
        <f>IF(AN65&lt;1,IF($B$2&gt;=A65,($A$2-A65+1)*-1*H65,"-"),AX65*($A$2-AM65+1)-H65*($A$2-A65+1))</f>
        <v>0</v>
      </c>
      <c r="BC65" s="1484"/>
      <c r="BD65" s="703"/>
      <c r="BE65" s="841"/>
      <c r="BF65" s="93"/>
      <c r="BG65" s="91"/>
      <c r="BH65" s="93"/>
      <c r="BI65" s="748"/>
      <c r="BJ65" s="748"/>
      <c r="BK65" s="748"/>
      <c r="BL65" s="91"/>
      <c r="BM65" s="91"/>
      <c r="BN65" s="94"/>
      <c r="BO65" s="1319"/>
      <c r="BP65" s="1485">
        <f t="shared" si="18"/>
        <v>0</v>
      </c>
      <c r="BQ65" s="621"/>
      <c r="BR65" s="646"/>
      <c r="BS65" s="621"/>
      <c r="BT65" s="284">
        <f t="shared" si="19"/>
        <v>0</v>
      </c>
      <c r="BU65" s="214" t="str">
        <f t="shared" si="20"/>
        <v/>
      </c>
      <c r="BV65" s="214" t="str">
        <f>IF(AE65&gt;$CC$7,S65,IF(AE65="перех",(S65),"-"))</f>
        <v>-</v>
      </c>
      <c r="BW65" s="622"/>
      <c r="BX65" s="623"/>
      <c r="BY65" s="624"/>
      <c r="BZ65" s="625"/>
      <c r="CA65" s="626"/>
      <c r="CB65" s="627"/>
      <c r="CC65" s="107"/>
      <c r="CD65" s="108"/>
      <c r="CE65" s="109"/>
      <c r="CF65" s="1320"/>
      <c r="CG65" s="659"/>
      <c r="CH65" s="1312">
        <v>1.0508E-2</v>
      </c>
      <c r="CI65" s="1312">
        <v>6.0480000000000004E-3</v>
      </c>
      <c r="CJ65" s="1312">
        <v>1.6556000000000001E-2</v>
      </c>
      <c r="CK65" s="1313">
        <f t="shared" si="21"/>
        <v>0</v>
      </c>
      <c r="CL65" s="1321">
        <f t="shared" si="22"/>
        <v>0</v>
      </c>
      <c r="CM65" s="1321">
        <f t="shared" si="23"/>
        <v>0</v>
      </c>
      <c r="CN65" s="1321">
        <f t="shared" si="24"/>
        <v>0</v>
      </c>
      <c r="CO65" s="1321">
        <f t="shared" si="25"/>
        <v>0</v>
      </c>
      <c r="CP65" s="1322">
        <v>2.0101999999999998E-2</v>
      </c>
      <c r="CQ65" s="1322">
        <v>-3.2360000000000002E-3</v>
      </c>
      <c r="CR65" s="1322">
        <v>1.6865999999999999E-2</v>
      </c>
      <c r="CS65" s="1313">
        <f>IF($A65&lt;=$B$1,N65-N65*CP65,N65)</f>
        <v>0</v>
      </c>
      <c r="CT65" s="1321">
        <f t="shared" si="27"/>
        <v>0</v>
      </c>
      <c r="CU65" s="602"/>
    </row>
    <row r="66" spans="1:99" ht="30" hidden="1" customHeight="1" outlineLevel="1">
      <c r="A66" s="310"/>
      <c r="B66" s="247"/>
      <c r="C66" s="247"/>
      <c r="D66" s="61"/>
      <c r="E66" s="62"/>
      <c r="F66" s="247"/>
      <c r="G66" s="80"/>
      <c r="H66" s="80"/>
      <c r="I66" s="80"/>
      <c r="J66" s="65"/>
      <c r="K66" s="66"/>
      <c r="L66" s="252"/>
      <c r="M66" s="68"/>
      <c r="N66" s="68"/>
      <c r="O66" s="372"/>
      <c r="P66" s="70"/>
      <c r="Q66" s="70"/>
      <c r="R66" s="66"/>
      <c r="S66" s="64"/>
      <c r="T66" s="70"/>
      <c r="U66" s="372"/>
      <c r="V66" s="70"/>
      <c r="W66" s="70"/>
      <c r="X66" s="64"/>
      <c r="Y66" s="70"/>
      <c r="Z66" s="70"/>
      <c r="AA66" s="70"/>
      <c r="AB66" s="274" t="s">
        <v>110</v>
      </c>
      <c r="AC66" s="319"/>
      <c r="AD66" s="288"/>
      <c r="AE66" s="1728">
        <f>AD66</f>
        <v>0</v>
      </c>
      <c r="AF66" s="78">
        <f>IF(AC66="переход","",AD66-AC66)</f>
        <v>0</v>
      </c>
      <c r="AG66" s="75" t="str">
        <f>IF(S66="","",AF66*S66)</f>
        <v/>
      </c>
      <c r="AH66" s="319"/>
      <c r="AI66" s="288"/>
      <c r="AJ66" s="77"/>
      <c r="AK66" s="74"/>
      <c r="AL66" s="75"/>
      <c r="AM66" s="78"/>
      <c r="AN66" s="74"/>
      <c r="AO66" s="63"/>
      <c r="AP66" s="74"/>
      <c r="AQ66" s="112"/>
      <c r="AR66" s="68"/>
      <c r="AS66" s="68"/>
      <c r="AT66" s="68"/>
      <c r="AU66" s="68"/>
      <c r="AV66" s="258"/>
      <c r="AW66" s="843"/>
      <c r="AX66" s="84"/>
      <c r="AY66" s="64"/>
      <c r="AZ66" s="63"/>
      <c r="BA66" s="312"/>
      <c r="BB66" s="1317"/>
      <c r="BC66" s="1484"/>
      <c r="BD66" s="703"/>
      <c r="BE66" s="513"/>
      <c r="BF66" s="93"/>
      <c r="BG66" s="91"/>
      <c r="BH66" s="93"/>
      <c r="BI66" s="748"/>
      <c r="BJ66" s="748"/>
      <c r="BK66" s="748"/>
      <c r="BL66" s="91"/>
      <c r="BM66" s="91"/>
      <c r="BN66" s="94"/>
      <c r="BO66" s="1319"/>
      <c r="BP66" s="1485">
        <f t="shared" si="18"/>
        <v>0</v>
      </c>
      <c r="BQ66" s="621"/>
      <c r="BR66" s="646"/>
      <c r="BS66" s="621"/>
      <c r="BT66" s="284">
        <f t="shared" si="19"/>
        <v>0</v>
      </c>
      <c r="BU66" s="214" t="str">
        <f t="shared" si="20"/>
        <v/>
      </c>
      <c r="BV66" s="214" t="str">
        <f>IF(AE66&gt;$CC$7,S66,IF(AE66="перех",(S66),"-"))</f>
        <v>-</v>
      </c>
      <c r="BW66" s="622"/>
      <c r="BX66" s="623"/>
      <c r="BY66" s="624"/>
      <c r="BZ66" s="625"/>
      <c r="CA66" s="626"/>
      <c r="CB66" s="627"/>
      <c r="CC66" s="107"/>
      <c r="CD66" s="108"/>
      <c r="CE66" s="109"/>
      <c r="CF66" s="1320"/>
      <c r="CG66" s="659"/>
      <c r="CH66" s="1312">
        <v>1.0508E-2</v>
      </c>
      <c r="CI66" s="1312">
        <v>6.0480000000000004E-3</v>
      </c>
      <c r="CJ66" s="1312">
        <v>1.6556000000000001E-2</v>
      </c>
      <c r="CK66" s="1313">
        <f t="shared" si="21"/>
        <v>0</v>
      </c>
      <c r="CL66" s="1321">
        <f t="shared" si="22"/>
        <v>0</v>
      </c>
      <c r="CM66" s="1321">
        <f t="shared" si="23"/>
        <v>0</v>
      </c>
      <c r="CN66" s="1321">
        <f t="shared" si="24"/>
        <v>0</v>
      </c>
      <c r="CO66" s="1321">
        <f t="shared" si="25"/>
        <v>0</v>
      </c>
      <c r="CP66" s="1322">
        <v>2.0101999999999998E-2</v>
      </c>
      <c r="CQ66" s="1322">
        <v>-3.2360000000000002E-3</v>
      </c>
      <c r="CR66" s="1322">
        <v>1.6865999999999999E-2</v>
      </c>
      <c r="CS66" s="1313">
        <f t="shared" si="26"/>
        <v>0</v>
      </c>
      <c r="CT66" s="1321">
        <f t="shared" si="27"/>
        <v>0</v>
      </c>
      <c r="CU66" s="602"/>
    </row>
    <row r="67" spans="1:99" ht="30" hidden="1" customHeight="1" outlineLevel="1">
      <c r="A67" s="59"/>
      <c r="B67" s="247"/>
      <c r="C67" s="247"/>
      <c r="D67" s="248"/>
      <c r="E67" s="62"/>
      <c r="F67" s="247"/>
      <c r="G67" s="80">
        <f>M67-S67</f>
        <v>0</v>
      </c>
      <c r="H67" s="80">
        <f>M67-S67</f>
        <v>0</v>
      </c>
      <c r="I67" s="80">
        <f>IF($B$2&gt;=A67,($B$2-A67+1)*H67,"-")</f>
        <v>0</v>
      </c>
      <c r="J67" s="65">
        <f>($A$2-A67+1)*H67</f>
        <v>0</v>
      </c>
      <c r="K67" s="66"/>
      <c r="L67" s="252">
        <f ca="1">IF((AC67)&lt;$L$2-DAY($L$2)+1,H67,H67+S67)</f>
        <v>0</v>
      </c>
      <c r="M67" s="252"/>
      <c r="N67" s="68"/>
      <c r="O67" s="372"/>
      <c r="P67" s="70"/>
      <c r="Q67" s="70"/>
      <c r="R67" s="66"/>
      <c r="S67" s="64"/>
      <c r="T67" s="70"/>
      <c r="U67" s="372"/>
      <c r="V67" s="70"/>
      <c r="W67" s="70"/>
      <c r="X67" s="85"/>
      <c r="Y67" s="71"/>
      <c r="Z67" s="537"/>
      <c r="AA67" s="70"/>
      <c r="AB67" s="638" t="s">
        <v>83</v>
      </c>
      <c r="AC67" s="253"/>
      <c r="AD67" s="288"/>
      <c r="AE67" s="1723">
        <f>AD67</f>
        <v>0</v>
      </c>
      <c r="AF67" s="78">
        <f>IF(AC67="переход","",AD67-AC67)</f>
        <v>0</v>
      </c>
      <c r="AG67" s="75" t="str">
        <f>IF(S67="","",AF67*S67)</f>
        <v/>
      </c>
      <c r="AH67" s="276"/>
      <c r="AI67" s="77"/>
      <c r="AJ67" s="77"/>
      <c r="AK67" s="74"/>
      <c r="AL67" s="75"/>
      <c r="AM67" s="78"/>
      <c r="AN67" s="74"/>
      <c r="AO67" s="256"/>
      <c r="AP67" s="81"/>
      <c r="AQ67" s="80"/>
      <c r="AR67" s="80"/>
      <c r="AS67" s="247"/>
      <c r="AT67" s="247"/>
      <c r="AU67" s="68"/>
      <c r="AV67" s="485"/>
      <c r="AW67" s="486"/>
      <c r="AX67" s="707"/>
      <c r="AY67" s="64"/>
      <c r="AZ67" s="64"/>
      <c r="BA67" s="64"/>
      <c r="BB67" s="1420"/>
      <c r="BC67" s="1484"/>
      <c r="BD67" s="617"/>
      <c r="BE67" s="618"/>
      <c r="BF67" s="391"/>
      <c r="BG67" s="450"/>
      <c r="BH67" s="390"/>
      <c r="BI67" s="619"/>
      <c r="BJ67" s="619"/>
      <c r="BK67" s="620"/>
      <c r="BL67" s="450"/>
      <c r="BM67" s="457"/>
      <c r="BN67" s="450"/>
      <c r="BO67" s="1420"/>
      <c r="BP67" s="1485">
        <f t="shared" si="18"/>
        <v>0</v>
      </c>
      <c r="BQ67" s="621"/>
      <c r="BR67" s="646"/>
      <c r="BS67" s="621"/>
      <c r="BT67" s="315">
        <f t="shared" si="19"/>
        <v>0</v>
      </c>
      <c r="BU67" s="646" t="str">
        <f t="shared" si="20"/>
        <v/>
      </c>
      <c r="BV67" s="621"/>
      <c r="BW67" s="622"/>
      <c r="BX67" s="623"/>
      <c r="BY67" s="624"/>
      <c r="BZ67" s="625"/>
      <c r="CA67" s="626"/>
      <c r="CB67" s="627"/>
      <c r="CC67" s="107"/>
      <c r="CD67" s="108"/>
      <c r="CE67" s="109"/>
      <c r="CF67" s="1320"/>
      <c r="CG67" s="657"/>
      <c r="CH67" s="1312"/>
      <c r="CI67" s="1312"/>
      <c r="CJ67" s="1312"/>
      <c r="CK67" s="1313">
        <f t="shared" si="21"/>
        <v>0</v>
      </c>
      <c r="CL67" s="1302">
        <f t="shared" si="22"/>
        <v>0</v>
      </c>
      <c r="CM67" s="1321">
        <f t="shared" si="23"/>
        <v>0</v>
      </c>
      <c r="CN67" s="1321">
        <f t="shared" si="24"/>
        <v>0</v>
      </c>
      <c r="CO67" s="1321">
        <f t="shared" si="25"/>
        <v>0</v>
      </c>
      <c r="CP67" s="1322">
        <v>0.03</v>
      </c>
      <c r="CQ67" s="1322">
        <v>2E-3</v>
      </c>
      <c r="CR67" s="1322">
        <v>3.2000000000000001E-2</v>
      </c>
      <c r="CS67" s="1313">
        <f t="shared" si="26"/>
        <v>0</v>
      </c>
      <c r="CT67" s="1302">
        <f t="shared" si="27"/>
        <v>0</v>
      </c>
      <c r="CU67" s="602"/>
    </row>
    <row r="68" spans="1:99" ht="30" hidden="1" customHeight="1" outlineLevel="1">
      <c r="A68" s="59"/>
      <c r="B68" s="247"/>
      <c r="C68" s="247"/>
      <c r="D68" s="248"/>
      <c r="E68" s="62"/>
      <c r="F68" s="247"/>
      <c r="G68" s="80">
        <f>M68-S68</f>
        <v>0</v>
      </c>
      <c r="H68" s="80">
        <f>M68-S68</f>
        <v>0</v>
      </c>
      <c r="I68" s="80">
        <f>IF($B$2&gt;=A68,($B$2-A68+1)*H68,"-")</f>
        <v>0</v>
      </c>
      <c r="J68" s="65">
        <f>($A$2-A68+1)*H68</f>
        <v>0</v>
      </c>
      <c r="K68" s="66"/>
      <c r="L68" s="252">
        <f ca="1">IF((AC68)&lt;$L$2-DAY($L$2)+1,H68,H68+S68)</f>
        <v>0</v>
      </c>
      <c r="M68" s="252"/>
      <c r="N68" s="252"/>
      <c r="O68" s="69"/>
      <c r="P68" s="71"/>
      <c r="Q68" s="71"/>
      <c r="R68" s="273"/>
      <c r="S68" s="63"/>
      <c r="T68" s="71"/>
      <c r="U68" s="913"/>
      <c r="V68" s="70"/>
      <c r="W68" s="70"/>
      <c r="X68" s="85"/>
      <c r="Y68" s="71"/>
      <c r="Z68" s="537"/>
      <c r="AA68" s="70"/>
      <c r="AB68" s="638"/>
      <c r="AC68" s="253"/>
      <c r="AD68" s="135"/>
      <c r="AE68" s="1723"/>
      <c r="AF68" s="78"/>
      <c r="AG68" s="75" t="str">
        <f>IF(S68="","",AF68*S68)</f>
        <v/>
      </c>
      <c r="AH68" s="276"/>
      <c r="AI68" s="77"/>
      <c r="AJ68" s="77"/>
      <c r="AK68" s="74"/>
      <c r="AL68" s="75"/>
      <c r="AM68" s="78"/>
      <c r="AN68" s="74"/>
      <c r="AO68" s="256"/>
      <c r="AP68" s="81"/>
      <c r="AQ68" s="80"/>
      <c r="AR68" s="80"/>
      <c r="AS68" s="247"/>
      <c r="AT68" s="247"/>
      <c r="AU68" s="68"/>
      <c r="AV68" s="485"/>
      <c r="AW68" s="486"/>
      <c r="AX68" s="707"/>
      <c r="AY68" s="64"/>
      <c r="AZ68" s="64"/>
      <c r="BA68" s="64"/>
      <c r="BB68" s="1420"/>
      <c r="BC68" s="1484"/>
      <c r="BD68" s="617"/>
      <c r="BE68" s="618"/>
      <c r="BF68" s="391"/>
      <c r="BG68" s="450"/>
      <c r="BH68" s="390"/>
      <c r="BI68" s="619"/>
      <c r="BJ68" s="619"/>
      <c r="BK68" s="620"/>
      <c r="BL68" s="450"/>
      <c r="BM68" s="457"/>
      <c r="BN68" s="450"/>
      <c r="BO68" s="1420"/>
      <c r="BP68" s="1485">
        <f t="shared" si="18"/>
        <v>0</v>
      </c>
      <c r="BQ68" s="621"/>
      <c r="BR68" s="646"/>
      <c r="BS68" s="621"/>
      <c r="BT68" s="315">
        <f t="shared" si="19"/>
        <v>0</v>
      </c>
      <c r="BU68" s="646" t="str">
        <f t="shared" si="20"/>
        <v/>
      </c>
      <c r="BV68" s="621"/>
      <c r="BW68" s="622"/>
      <c r="BX68" s="623"/>
      <c r="BY68" s="624"/>
      <c r="BZ68" s="625"/>
      <c r="CA68" s="626"/>
      <c r="CB68" s="627"/>
      <c r="CC68" s="107"/>
      <c r="CD68" s="108"/>
      <c r="CE68" s="109"/>
      <c r="CF68" s="1320"/>
      <c r="CG68" s="657"/>
      <c r="CH68" s="1312"/>
      <c r="CI68" s="1312"/>
      <c r="CJ68" s="1312"/>
      <c r="CK68" s="1313">
        <f t="shared" si="21"/>
        <v>0</v>
      </c>
      <c r="CL68" s="1302">
        <f t="shared" si="22"/>
        <v>0</v>
      </c>
      <c r="CM68" s="1321">
        <f t="shared" si="23"/>
        <v>0</v>
      </c>
      <c r="CN68" s="1321">
        <f t="shared" si="24"/>
        <v>0</v>
      </c>
      <c r="CO68" s="1321">
        <f t="shared" si="25"/>
        <v>0</v>
      </c>
      <c r="CP68" s="1322">
        <v>0.03</v>
      </c>
      <c r="CQ68" s="1322">
        <v>2E-3</v>
      </c>
      <c r="CR68" s="1322">
        <v>3.2000000000000001E-2</v>
      </c>
      <c r="CS68" s="1313">
        <f t="shared" si="26"/>
        <v>0</v>
      </c>
      <c r="CT68" s="1302">
        <f t="shared" si="27"/>
        <v>0</v>
      </c>
      <c r="CU68" s="602"/>
    </row>
    <row r="69" spans="1:99" ht="30" hidden="1" customHeight="1" outlineLevel="1">
      <c r="A69" s="59"/>
      <c r="B69" s="247"/>
      <c r="C69" s="247"/>
      <c r="D69" s="248"/>
      <c r="E69" s="62"/>
      <c r="F69" s="247"/>
      <c r="G69" s="80">
        <f>M69-S69</f>
        <v>0</v>
      </c>
      <c r="H69" s="80">
        <f>M69-S69</f>
        <v>0</v>
      </c>
      <c r="I69" s="80">
        <f>IF($B$2&gt;=A69,($B$2-A69+1)*H69,"-")</f>
        <v>0</v>
      </c>
      <c r="J69" s="65">
        <f>($A$2-A69+1)*H69</f>
        <v>0</v>
      </c>
      <c r="K69" s="66"/>
      <c r="L69" s="252">
        <f ca="1">IF((AC69)&lt;$L$2-DAY($L$2)+1,H69,H69+S69)</f>
        <v>0</v>
      </c>
      <c r="M69" s="252"/>
      <c r="N69" s="252"/>
      <c r="O69" s="71"/>
      <c r="P69" s="71"/>
      <c r="Q69" s="71"/>
      <c r="R69" s="273"/>
      <c r="S69" s="63"/>
      <c r="T69" s="71"/>
      <c r="U69" s="537"/>
      <c r="V69" s="70"/>
      <c r="W69" s="70"/>
      <c r="X69" s="85"/>
      <c r="Y69" s="71"/>
      <c r="Z69" s="537"/>
      <c r="AA69" s="70"/>
      <c r="AB69" s="638"/>
      <c r="AC69" s="253"/>
      <c r="AD69" s="135"/>
      <c r="AE69" s="1723"/>
      <c r="AF69" s="78"/>
      <c r="AG69" s="75"/>
      <c r="AH69" s="276"/>
      <c r="AI69" s="77"/>
      <c r="AJ69" s="77"/>
      <c r="AK69" s="74"/>
      <c r="AL69" s="75"/>
      <c r="AM69" s="78"/>
      <c r="AN69" s="74"/>
      <c r="AO69" s="256"/>
      <c r="AP69" s="81"/>
      <c r="AQ69" s="80"/>
      <c r="AR69" s="80"/>
      <c r="AS69" s="247"/>
      <c r="AT69" s="247"/>
      <c r="AU69" s="68"/>
      <c r="AV69" s="485"/>
      <c r="AW69" s="486"/>
      <c r="AX69" s="707"/>
      <c r="AY69" s="64"/>
      <c r="AZ69" s="64"/>
      <c r="BA69" s="64"/>
      <c r="BB69" s="1420"/>
      <c r="BC69" s="1484"/>
      <c r="BD69" s="617"/>
      <c r="BE69" s="618"/>
      <c r="BF69" s="391"/>
      <c r="BG69" s="450"/>
      <c r="BH69" s="390"/>
      <c r="BI69" s="619"/>
      <c r="BJ69" s="619"/>
      <c r="BK69" s="620"/>
      <c r="BL69" s="450"/>
      <c r="BM69" s="457"/>
      <c r="BN69" s="450"/>
      <c r="BO69" s="1420"/>
      <c r="BP69" s="1485">
        <f t="shared" si="18"/>
        <v>0</v>
      </c>
      <c r="BQ69" s="621"/>
      <c r="BR69" s="646"/>
      <c r="BS69" s="621"/>
      <c r="BT69" s="315">
        <f t="shared" si="19"/>
        <v>0</v>
      </c>
      <c r="BU69" s="646">
        <f t="shared" si="20"/>
        <v>0</v>
      </c>
      <c r="BV69" s="621"/>
      <c r="BW69" s="622"/>
      <c r="BX69" s="623"/>
      <c r="BY69" s="624"/>
      <c r="BZ69" s="625"/>
      <c r="CA69" s="626"/>
      <c r="CB69" s="627"/>
      <c r="CC69" s="107"/>
      <c r="CD69" s="108"/>
      <c r="CE69" s="109"/>
      <c r="CF69" s="1320"/>
      <c r="CG69" s="602"/>
      <c r="CH69" s="1312"/>
      <c r="CI69" s="1312"/>
      <c r="CJ69" s="1312"/>
      <c r="CK69" s="1313">
        <f t="shared" si="21"/>
        <v>0</v>
      </c>
      <c r="CL69" s="1302">
        <f t="shared" si="22"/>
        <v>0</v>
      </c>
      <c r="CM69" s="1321">
        <f t="shared" si="23"/>
        <v>0</v>
      </c>
      <c r="CN69" s="1321">
        <f t="shared" si="24"/>
        <v>0</v>
      </c>
      <c r="CO69" s="1321">
        <f t="shared" si="25"/>
        <v>0</v>
      </c>
      <c r="CP69" s="1322">
        <v>0.03</v>
      </c>
      <c r="CQ69" s="1322">
        <v>2E-3</v>
      </c>
      <c r="CR69" s="1322">
        <v>3.2000000000000001E-2</v>
      </c>
      <c r="CS69" s="1313">
        <f t="shared" si="26"/>
        <v>0</v>
      </c>
      <c r="CT69" s="1302">
        <f t="shared" si="27"/>
        <v>0</v>
      </c>
      <c r="CU69" s="602"/>
    </row>
    <row r="70" spans="1:99" ht="30" hidden="1" customHeight="1" outlineLevel="1" collapsed="1">
      <c r="A70" s="148" t="s">
        <v>220</v>
      </c>
      <c r="B70" s="149">
        <f>COUNTIF(A64:A69,$B$1)</f>
        <v>0</v>
      </c>
      <c r="C70" s="150"/>
      <c r="D70" s="151"/>
      <c r="E70" s="151"/>
      <c r="F70" s="151"/>
      <c r="G70" s="160"/>
      <c r="H70" s="152">
        <f>SUMIF(A64:A69,$B$1,H64:H69)</f>
        <v>0</v>
      </c>
      <c r="I70" s="152">
        <f>SUM(I64:I69)</f>
        <v>0</v>
      </c>
      <c r="J70" s="152"/>
      <c r="K70" s="152"/>
      <c r="L70" s="153">
        <f>SUMIF(A64:A69,$B$1,L64:L69)</f>
        <v>0</v>
      </c>
      <c r="M70" s="153">
        <f>SUMIF(A64:A69,$B$1,M64:M69)</f>
        <v>0</v>
      </c>
      <c r="N70" s="152"/>
      <c r="O70" s="152"/>
      <c r="P70" s="152"/>
      <c r="Q70" s="152"/>
      <c r="R70" s="152"/>
      <c r="S70" s="152"/>
      <c r="T70" s="152"/>
      <c r="U70" s="151"/>
      <c r="V70" s="151"/>
      <c r="W70" s="151"/>
      <c r="X70" s="152"/>
      <c r="Y70" s="152"/>
      <c r="Z70" s="151"/>
      <c r="AA70" s="151"/>
      <c r="AB70" s="151"/>
      <c r="AC70" s="154"/>
      <c r="AD70" s="155"/>
      <c r="AE70" s="1718"/>
      <c r="AF70" s="158"/>
      <c r="AG70" s="157"/>
      <c r="AH70" s="730"/>
      <c r="AI70" s="156"/>
      <c r="AJ70" s="156"/>
      <c r="AK70" s="152"/>
      <c r="AL70" s="157"/>
      <c r="AM70" s="297">
        <f>COUNTA(AM64:AM69)</f>
        <v>0</v>
      </c>
      <c r="AN70" s="152">
        <f>SUM(AN64:AN69)</f>
        <v>0</v>
      </c>
      <c r="AO70" s="152">
        <f>SUM(AO64:AO69)</f>
        <v>0</v>
      </c>
      <c r="AP70" s="161"/>
      <c r="AQ70" s="151"/>
      <c r="AR70" s="151"/>
      <c r="AS70" s="151"/>
      <c r="AT70" s="151"/>
      <c r="AU70" s="151"/>
      <c r="AV70" s="151"/>
      <c r="AW70" s="151"/>
      <c r="AX70" s="163">
        <f>SUM(AX64:AX69)</f>
        <v>0</v>
      </c>
      <c r="AY70" s="163">
        <f>SUM(AY64:AY69)</f>
        <v>0</v>
      </c>
      <c r="AZ70" s="163">
        <f>SUM(AZ64:AZ69)</f>
        <v>0</v>
      </c>
      <c r="BA70" s="221" t="str">
        <f>IF(COUNT(BA64:BA69)=0,"-",AVERAGE(BA64:BA69))</f>
        <v>-</v>
      </c>
      <c r="BB70" s="1386"/>
      <c r="BC70" s="223"/>
      <c r="BD70" s="222"/>
      <c r="BE70" s="223"/>
      <c r="BF70" s="223"/>
      <c r="BG70" s="223"/>
      <c r="BH70" s="223"/>
      <c r="BI70" s="223"/>
      <c r="BJ70" s="223"/>
      <c r="BK70" s="223"/>
      <c r="BL70" s="223"/>
      <c r="BM70" s="223"/>
      <c r="BN70" s="301"/>
      <c r="BO70" s="683"/>
      <c r="BP70" s="1421"/>
      <c r="BQ70" s="1896"/>
      <c r="BR70" s="1890"/>
      <c r="BS70" s="498"/>
      <c r="BT70" s="496"/>
      <c r="BU70" s="462"/>
      <c r="BV70" s="463"/>
      <c r="BW70" s="684"/>
      <c r="BX70" s="685"/>
      <c r="BY70" s="173">
        <f>AM70</f>
        <v>0</v>
      </c>
      <c r="BZ70" s="173">
        <f>COUNTIF(BZ64:BZ69,"=0")</f>
        <v>0</v>
      </c>
      <c r="CA70" s="174">
        <f>SUM(COUNTIF(BZ64:BZ69,"&lt;0"),COUNTIF(BZ64:BZ69,"&gt;0"))</f>
        <v>0</v>
      </c>
      <c r="CB70" s="686"/>
      <c r="CC70" s="687"/>
      <c r="CD70" s="687"/>
      <c r="CE70" s="688"/>
      <c r="CF70" s="731"/>
      <c r="CG70" s="217"/>
      <c r="CH70" s="1312"/>
      <c r="CI70" s="1312"/>
      <c r="CJ70" s="1312"/>
      <c r="CK70" s="1354">
        <f>SUMIF($BP64:$BP69,$B$1,CK64:CK69)</f>
        <v>0</v>
      </c>
      <c r="CL70" s="1355">
        <f>SUMIF($BP64:$BP69,$B$1,CL64:CL69)</f>
        <v>0</v>
      </c>
      <c r="CM70" s="1355">
        <f>SUMIF($A64:$A69,$B$1,CM64:CM69)</f>
        <v>0</v>
      </c>
      <c r="CN70" s="1355">
        <f>SUMIF($A64:$A69,$B$1,CN64:CN69)</f>
        <v>0</v>
      </c>
      <c r="CO70" s="1356">
        <f>SUMIF($A64:$A69,$B$1,CO64:CO69)</f>
        <v>0</v>
      </c>
      <c r="CP70" s="1322"/>
      <c r="CQ70" s="1322"/>
      <c r="CR70" s="1322"/>
      <c r="CS70" s="1354">
        <f>SUMIF($A64:$A69,$B$1,CS64:CS69)</f>
        <v>0</v>
      </c>
      <c r="CT70" s="1354">
        <f>SUMIF($A64:$A69,$B$1,CT64:CT69)</f>
        <v>0</v>
      </c>
      <c r="CU70" s="602"/>
    </row>
    <row r="71" spans="1:99" ht="30" hidden="1" customHeight="1" outlineLevel="1">
      <c r="A71" s="179" t="s">
        <v>87</v>
      </c>
      <c r="B71" s="348">
        <f>COUNT(A64:A69)</f>
        <v>0</v>
      </c>
      <c r="C71" s="181"/>
      <c r="D71" s="182"/>
      <c r="E71" s="182"/>
      <c r="F71" s="182"/>
      <c r="G71" s="184"/>
      <c r="H71" s="184">
        <f>SUMIF(A64:A69,"&gt;0",H64:H69)</f>
        <v>0</v>
      </c>
      <c r="I71" s="184"/>
      <c r="J71" s="184">
        <f>SUM(J64:J69)</f>
        <v>0</v>
      </c>
      <c r="K71" s="184"/>
      <c r="L71" s="184"/>
      <c r="M71" s="184"/>
      <c r="N71" s="184"/>
      <c r="O71" s="184"/>
      <c r="P71" s="184"/>
      <c r="Q71" s="184"/>
      <c r="R71" s="185"/>
      <c r="S71" s="185">
        <f>SUMIF(AE64:AE69,"переход",S64:S69)</f>
        <v>0</v>
      </c>
      <c r="T71" s="185"/>
      <c r="U71" s="182"/>
      <c r="V71" s="182"/>
      <c r="W71" s="182"/>
      <c r="X71" s="185">
        <f>SUMIF(AK64:AK69,"перех.",X64:X69)</f>
        <v>0</v>
      </c>
      <c r="Y71" s="185"/>
      <c r="Z71" s="182"/>
      <c r="AA71" s="182"/>
      <c r="AB71" s="182"/>
      <c r="AC71" s="186"/>
      <c r="AD71" s="186"/>
      <c r="AE71" s="1719"/>
      <c r="AF71" s="184">
        <f>COUNT(AG64:AG69)</f>
        <v>0</v>
      </c>
      <c r="AG71" s="191">
        <f>SUM(AG64:AG69)</f>
        <v>0</v>
      </c>
      <c r="AH71" s="186"/>
      <c r="AI71" s="186"/>
      <c r="AJ71" s="186"/>
      <c r="AK71" s="184"/>
      <c r="AL71" s="184"/>
      <c r="AM71" s="182"/>
      <c r="AN71" s="182"/>
      <c r="AO71" s="182"/>
      <c r="AP71" s="187"/>
      <c r="AQ71" s="182"/>
      <c r="AR71" s="182"/>
      <c r="AS71" s="182"/>
      <c r="AT71" s="182"/>
      <c r="AU71" s="182"/>
      <c r="AV71" s="182"/>
      <c r="AW71" s="182"/>
      <c r="AX71" s="182"/>
      <c r="AY71" s="182"/>
      <c r="AZ71" s="182"/>
      <c r="BA71" s="182"/>
      <c r="BB71" s="188">
        <f>SUM(BB64:BB69)</f>
        <v>0</v>
      </c>
      <c r="BC71" s="476"/>
      <c r="BD71" s="535"/>
      <c r="BE71" s="476"/>
      <c r="BF71" s="476"/>
      <c r="BG71" s="476"/>
      <c r="BH71" s="476"/>
      <c r="BI71" s="476"/>
      <c r="BJ71" s="476"/>
      <c r="BK71" s="476"/>
      <c r="BL71" s="476"/>
      <c r="BM71" s="476"/>
      <c r="BN71" s="200"/>
      <c r="BO71" s="689"/>
      <c r="BP71" s="1422"/>
      <c r="BQ71" s="1897"/>
      <c r="BR71" s="473"/>
      <c r="BS71" s="474"/>
      <c r="BT71" s="471"/>
      <c r="BU71" s="472"/>
      <c r="BV71" s="473"/>
      <c r="BW71" s="360"/>
      <c r="BX71" s="196"/>
      <c r="BY71" s="197">
        <f>SUM(BY64:BY69)</f>
        <v>0</v>
      </c>
      <c r="BZ71" s="197">
        <f>SUMIF(BZ64:BZ69,"=0",CA64:CA69)</f>
        <v>0</v>
      </c>
      <c r="CA71" s="198">
        <f>SUMIF(BZ64:BZ69,"&lt;&gt;0",CA64:CA69)</f>
        <v>0</v>
      </c>
      <c r="CB71" s="477"/>
      <c r="CC71" s="692"/>
      <c r="CD71" s="308"/>
      <c r="CE71" s="237"/>
      <c r="CF71" s="744"/>
      <c r="CG71" s="217"/>
      <c r="CH71" s="1312"/>
      <c r="CI71" s="1312"/>
      <c r="CJ71" s="1312"/>
      <c r="CK71" s="1357"/>
      <c r="CL71" s="1358">
        <f>CL70-$S70</f>
        <v>0</v>
      </c>
      <c r="CM71" s="1357"/>
      <c r="CN71" s="1359"/>
      <c r="CO71" s="1357"/>
      <c r="CP71" s="1322"/>
      <c r="CQ71" s="1322"/>
      <c r="CR71" s="1322"/>
      <c r="CS71" s="1357"/>
      <c r="CT71" s="1358">
        <f>CT70-$M70</f>
        <v>0</v>
      </c>
      <c r="CU71" s="602"/>
    </row>
    <row r="72" spans="1:99" ht="30" hidden="1" customHeight="1" outlineLevel="1">
      <c r="A72" s="693"/>
      <c r="B72" s="203"/>
      <c r="C72" s="203"/>
      <c r="D72" s="203"/>
      <c r="E72" s="203"/>
      <c r="F72" s="694"/>
      <c r="G72" s="203"/>
      <c r="H72" s="203"/>
      <c r="I72" s="203"/>
      <c r="J72" s="203"/>
      <c r="K72" s="203"/>
      <c r="L72" s="203"/>
      <c r="M72" s="203"/>
      <c r="N72" s="203"/>
      <c r="O72" s="203"/>
      <c r="P72" s="203"/>
      <c r="Q72" s="203"/>
      <c r="R72" s="203"/>
      <c r="S72" s="203"/>
      <c r="T72" s="203"/>
      <c r="U72" s="203"/>
      <c r="V72" s="203"/>
      <c r="W72" s="203"/>
      <c r="X72" s="203"/>
      <c r="Y72" s="203"/>
      <c r="Z72" s="203"/>
      <c r="AA72" s="203"/>
      <c r="AB72" s="203"/>
      <c r="AC72" s="696"/>
      <c r="AD72" s="696"/>
      <c r="AE72" s="1733"/>
      <c r="AF72" s="697"/>
      <c r="AG72" s="697"/>
      <c r="AH72" s="698"/>
      <c r="AI72" s="696"/>
      <c r="AJ72" s="696"/>
      <c r="AK72" s="697"/>
      <c r="AL72" s="697"/>
      <c r="AM72" s="203"/>
      <c r="AN72" s="203"/>
      <c r="AO72" s="203"/>
      <c r="AP72" s="203"/>
      <c r="AQ72" s="203"/>
      <c r="AR72" s="203"/>
      <c r="AS72" s="203"/>
      <c r="AT72" s="203"/>
      <c r="AU72" s="203"/>
      <c r="AV72" s="203"/>
      <c r="AW72" s="203"/>
      <c r="AX72" s="203"/>
      <c r="AY72" s="203"/>
      <c r="AZ72" s="203"/>
      <c r="BA72" s="203"/>
      <c r="BB72" s="203"/>
      <c r="BC72" s="699"/>
      <c r="BD72" s="700"/>
      <c r="BE72" s="700"/>
      <c r="BF72" s="700"/>
      <c r="BG72" s="700"/>
      <c r="BH72" s="700"/>
      <c r="BI72" s="700"/>
      <c r="BJ72" s="700"/>
      <c r="BK72" s="700"/>
      <c r="BL72" s="700"/>
      <c r="BM72" s="700"/>
      <c r="BN72"/>
      <c r="BO72"/>
      <c r="BP72" s="1388"/>
      <c r="BQ72" s="99"/>
      <c r="BR72" s="131"/>
      <c r="BS72" s="99"/>
      <c r="BT72" s="130"/>
      <c r="BU72" s="131"/>
      <c r="BV72" s="131"/>
      <c r="BW72" s="52"/>
      <c r="BX72" s="53"/>
      <c r="BY72" s="53"/>
      <c r="BZ72" s="53"/>
      <c r="CA72" s="206"/>
      <c r="CB72" s="53"/>
      <c r="CC72" s="53"/>
      <c r="CD72" s="53"/>
      <c r="CE72" s="53"/>
      <c r="CF72" s="735"/>
      <c r="CG72" s="217"/>
      <c r="CH72" s="1312"/>
      <c r="CI72" s="1312"/>
      <c r="CJ72" s="1312"/>
      <c r="CK72" s="1313"/>
      <c r="CL72" s="1315"/>
      <c r="CM72" s="1361"/>
      <c r="CN72" s="1361"/>
      <c r="CO72" s="1361"/>
      <c r="CP72" s="1322"/>
      <c r="CQ72" s="1322"/>
      <c r="CR72" s="1322"/>
      <c r="CS72" s="1313"/>
      <c r="CT72" s="1315"/>
      <c r="CU72" s="602"/>
    </row>
    <row r="73" spans="1:99" ht="30" hidden="1" customHeight="1" outlineLevel="1">
      <c r="A73" s="2144" t="s">
        <v>104</v>
      </c>
      <c r="B73" s="2144"/>
      <c r="C73" s="2144"/>
      <c r="D73" s="2144"/>
      <c r="E73" s="2144"/>
      <c r="F73" s="2144"/>
      <c r="G73" s="2144"/>
      <c r="H73" s="21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1703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5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78"/>
      <c r="BO73" s="478"/>
      <c r="BP73" s="1385"/>
      <c r="BQ73" s="209"/>
      <c r="BR73" s="208"/>
      <c r="BS73" s="209"/>
      <c r="BT73" s="207"/>
      <c r="BU73" s="208"/>
      <c r="BV73" s="209"/>
      <c r="BW73" s="482"/>
      <c r="BX73" s="478"/>
      <c r="BY73" s="478"/>
      <c r="BZ73" s="478"/>
      <c r="CA73" s="47"/>
      <c r="CB73" s="478"/>
      <c r="CC73" s="478"/>
      <c r="CD73" s="478"/>
      <c r="CE73" s="47"/>
      <c r="CF73" s="482"/>
      <c r="CG73" s="657"/>
      <c r="CH73" s="1312"/>
      <c r="CI73" s="1312"/>
      <c r="CJ73" s="1312"/>
      <c r="CK73" s="1378"/>
      <c r="CL73" s="1378"/>
      <c r="CM73" s="1378"/>
      <c r="CN73" s="1378"/>
      <c r="CO73" s="1378"/>
      <c r="CP73" s="1322"/>
      <c r="CQ73" s="1322"/>
      <c r="CR73" s="1322"/>
      <c r="CS73" s="1378"/>
      <c r="CT73" s="1378"/>
      <c r="CU73" s="602"/>
    </row>
    <row r="74" spans="1:99" ht="30" hidden="1" customHeight="1" outlineLevel="1">
      <c r="A74" s="582" t="s">
        <v>95</v>
      </c>
      <c r="B74" s="247"/>
      <c r="C74" s="247"/>
      <c r="D74" s="248"/>
      <c r="E74" s="248"/>
      <c r="F74" s="247"/>
      <c r="G74" s="80"/>
      <c r="H74" s="80"/>
      <c r="I74" s="65"/>
      <c r="J74" s="65"/>
      <c r="K74" s="66"/>
      <c r="L74" s="65"/>
      <c r="M74" s="252"/>
      <c r="N74" s="252"/>
      <c r="O74" s="71"/>
      <c r="P74" s="71"/>
      <c r="Q74" s="71"/>
      <c r="R74" s="273"/>
      <c r="S74" s="85"/>
      <c r="T74" s="71"/>
      <c r="U74" s="537"/>
      <c r="V74" s="70"/>
      <c r="W74" s="70"/>
      <c r="X74" s="85"/>
      <c r="Y74" s="71"/>
      <c r="Z74" s="537"/>
      <c r="AA74" s="70"/>
      <c r="AB74" s="638"/>
      <c r="AC74" s="253"/>
      <c r="AD74" s="135"/>
      <c r="AE74" s="1723"/>
      <c r="AF74" s="78"/>
      <c r="AG74" s="75"/>
      <c r="AH74" s="76"/>
      <c r="AI74" s="77"/>
      <c r="AJ74" s="77"/>
      <c r="AK74" s="74"/>
      <c r="AL74" s="75"/>
      <c r="AM74" s="78"/>
      <c r="AN74" s="74"/>
      <c r="AO74" s="256"/>
      <c r="AP74" s="81"/>
      <c r="AQ74" s="80"/>
      <c r="AR74" s="80"/>
      <c r="AS74" s="247"/>
      <c r="AT74" s="247"/>
      <c r="AU74" s="68"/>
      <c r="AV74" s="485"/>
      <c r="AW74" s="486"/>
      <c r="AX74" s="707"/>
      <c r="AY74" s="64"/>
      <c r="AZ74" s="64"/>
      <c r="BA74" s="64"/>
      <c r="BB74" s="1420"/>
      <c r="BC74" s="1484"/>
      <c r="BD74" s="617"/>
      <c r="BE74" s="618"/>
      <c r="BF74" s="391"/>
      <c r="BG74" s="450"/>
      <c r="BH74" s="390"/>
      <c r="BI74" s="619"/>
      <c r="BJ74" s="619"/>
      <c r="BK74" s="620"/>
      <c r="BL74" s="450"/>
      <c r="BM74" s="457"/>
      <c r="BN74" s="450"/>
      <c r="BO74" s="1420"/>
      <c r="BP74" s="1486">
        <f>AC74</f>
        <v>0</v>
      </c>
      <c r="BQ74" s="621"/>
      <c r="BR74" s="646"/>
      <c r="BS74" s="621"/>
      <c r="BT74" s="315">
        <f>S74</f>
        <v>0</v>
      </c>
      <c r="BU74" s="646">
        <f>AG74</f>
        <v>0</v>
      </c>
      <c r="BV74" s="621"/>
      <c r="BW74" s="622"/>
      <c r="BX74" s="623"/>
      <c r="BY74" s="624"/>
      <c r="BZ74" s="625"/>
      <c r="CA74" s="626"/>
      <c r="CB74" s="627"/>
      <c r="CC74" s="107"/>
      <c r="CD74" s="108"/>
      <c r="CE74" s="109"/>
      <c r="CF74" s="1320" t="s">
        <v>103</v>
      </c>
      <c r="CG74" s="657"/>
      <c r="CH74" s="1312"/>
      <c r="CI74" s="1312"/>
      <c r="CJ74" s="1312"/>
      <c r="CK74" s="1379"/>
      <c r="CL74" s="1378"/>
      <c r="CM74" s="1379"/>
      <c r="CN74" s="1335"/>
      <c r="CO74" s="1379"/>
      <c r="CP74" s="1322"/>
      <c r="CQ74" s="1322"/>
      <c r="CR74" s="1322"/>
      <c r="CS74" s="1379"/>
      <c r="CT74" s="1378"/>
      <c r="CU74" s="602"/>
    </row>
    <row r="75" spans="1:99" ht="30" hidden="1" customHeight="1" outlineLevel="1">
      <c r="A75" s="582" t="s">
        <v>95</v>
      </c>
      <c r="B75" s="247"/>
      <c r="C75" s="247"/>
      <c r="D75" s="62"/>
      <c r="E75" s="62"/>
      <c r="F75" s="247"/>
      <c r="G75" s="65"/>
      <c r="H75" s="80"/>
      <c r="I75" s="80"/>
      <c r="J75" s="80"/>
      <c r="K75" s="66"/>
      <c r="L75" s="453"/>
      <c r="M75" s="252"/>
      <c r="N75" s="252"/>
      <c r="O75" s="71"/>
      <c r="P75" s="71"/>
      <c r="Q75" s="71"/>
      <c r="R75" s="273"/>
      <c r="S75" s="85"/>
      <c r="T75" s="71"/>
      <c r="U75" s="537"/>
      <c r="V75" s="70"/>
      <c r="W75" s="70"/>
      <c r="X75" s="85"/>
      <c r="Y75" s="71"/>
      <c r="Z75" s="537"/>
      <c r="AA75" s="70"/>
      <c r="AB75" s="134"/>
      <c r="AC75" s="253"/>
      <c r="AD75" s="135"/>
      <c r="AE75" s="1723"/>
      <c r="AF75" s="78"/>
      <c r="AG75" s="75"/>
      <c r="AH75" s="76"/>
      <c r="AI75" s="77"/>
      <c r="AJ75" s="77"/>
      <c r="AK75" s="74"/>
      <c r="AL75" s="75"/>
      <c r="AM75" s="78"/>
      <c r="AN75" s="74"/>
      <c r="AO75" s="256"/>
      <c r="AP75" s="81"/>
      <c r="AQ75" s="80"/>
      <c r="AR75" s="80"/>
      <c r="AS75" s="247"/>
      <c r="AT75" s="247"/>
      <c r="AU75" s="68"/>
      <c r="AV75" s="485"/>
      <c r="AW75" s="455"/>
      <c r="AX75" s="707"/>
      <c r="AY75" s="64"/>
      <c r="AZ75" s="64"/>
      <c r="BA75" s="64"/>
      <c r="BB75" s="1420"/>
      <c r="BC75" s="933"/>
      <c r="BD75" s="703"/>
      <c r="BE75" s="90" t="s">
        <v>232</v>
      </c>
      <c r="BF75" s="94"/>
      <c r="BG75" s="91"/>
      <c r="BH75" s="91"/>
      <c r="BI75" s="704"/>
      <c r="BJ75" s="704"/>
      <c r="BK75" s="704"/>
      <c r="BL75" s="91"/>
      <c r="BM75" s="94"/>
      <c r="BN75" s="94"/>
      <c r="BO75" s="1319"/>
      <c r="BP75" s="1388">
        <f>AC75</f>
        <v>0</v>
      </c>
      <c r="BQ75" s="99"/>
      <c r="BR75" s="131"/>
      <c r="BS75" s="99"/>
      <c r="BT75" s="130">
        <f>S75</f>
        <v>0</v>
      </c>
      <c r="BU75" s="131">
        <f>AG75</f>
        <v>0</v>
      </c>
      <c r="BV75" s="131"/>
      <c r="BW75" s="101"/>
      <c r="BX75" s="102"/>
      <c r="BY75" s="103"/>
      <c r="BZ75" s="104"/>
      <c r="CA75" s="105"/>
      <c r="CB75" s="627"/>
      <c r="CC75" s="107"/>
      <c r="CD75" s="108"/>
      <c r="CE75" s="109"/>
      <c r="CF75" s="1320" t="s">
        <v>103</v>
      </c>
      <c r="CG75" s="602"/>
      <c r="CH75" s="1312"/>
      <c r="CI75" s="1312"/>
      <c r="CJ75" s="1312"/>
      <c r="CK75" s="1313"/>
      <c r="CL75" s="1315"/>
      <c r="CM75" s="1361"/>
      <c r="CN75" s="1361"/>
      <c r="CO75" s="1361"/>
      <c r="CP75" s="1322"/>
      <c r="CQ75" s="1322"/>
      <c r="CR75" s="1322"/>
      <c r="CS75" s="1313"/>
      <c r="CT75" s="1315"/>
      <c r="CU75" s="602"/>
    </row>
    <row r="76" spans="1:99" ht="30" hidden="1" customHeight="1" outlineLevel="1">
      <c r="A76" s="582" t="s">
        <v>95</v>
      </c>
      <c r="B76" s="247"/>
      <c r="C76" s="247"/>
      <c r="D76" s="248"/>
      <c r="E76" s="248"/>
      <c r="F76" s="247"/>
      <c r="G76" s="65"/>
      <c r="H76" s="80"/>
      <c r="I76" s="80"/>
      <c r="J76" s="80"/>
      <c r="K76" s="66"/>
      <c r="L76" s="453"/>
      <c r="M76" s="252"/>
      <c r="N76" s="252"/>
      <c r="O76" s="71"/>
      <c r="P76" s="71"/>
      <c r="Q76" s="71"/>
      <c r="R76" s="273"/>
      <c r="S76" s="63"/>
      <c r="T76" s="71"/>
      <c r="U76" s="537"/>
      <c r="V76" s="70"/>
      <c r="W76" s="70"/>
      <c r="X76" s="63"/>
      <c r="Y76" s="71"/>
      <c r="Z76" s="537"/>
      <c r="AA76" s="70"/>
      <c r="AB76" s="134"/>
      <c r="AC76" s="253"/>
      <c r="AD76" s="135"/>
      <c r="AE76" s="1723"/>
      <c r="AF76" s="78"/>
      <c r="AG76" s="75"/>
      <c r="AH76" s="76"/>
      <c r="AI76" s="77"/>
      <c r="AJ76" s="77"/>
      <c r="AK76" s="74"/>
      <c r="AL76" s="75"/>
      <c r="AM76" s="78"/>
      <c r="AN76" s="74"/>
      <c r="AO76" s="256"/>
      <c r="AP76" s="81"/>
      <c r="AQ76" s="80"/>
      <c r="AR76" s="80"/>
      <c r="AS76" s="247"/>
      <c r="AT76" s="247"/>
      <c r="AU76" s="68"/>
      <c r="AV76" s="485"/>
      <c r="AW76" s="455"/>
      <c r="AX76" s="707"/>
      <c r="AY76" s="64"/>
      <c r="AZ76" s="64"/>
      <c r="BA76" s="64"/>
      <c r="BB76" s="1420"/>
      <c r="BC76" s="1487"/>
      <c r="BD76" s="617"/>
      <c r="BE76" s="90" t="s">
        <v>233</v>
      </c>
      <c r="BF76" s="457"/>
      <c r="BG76" s="450"/>
      <c r="BH76" s="450"/>
      <c r="BI76" s="706"/>
      <c r="BJ76" s="706"/>
      <c r="BK76" s="706"/>
      <c r="BL76" s="91"/>
      <c r="BM76" s="94"/>
      <c r="BN76" s="91"/>
      <c r="BO76" s="1319"/>
      <c r="BP76" s="1388">
        <f>AC76</f>
        <v>0</v>
      </c>
      <c r="BQ76" s="99"/>
      <c r="BR76" s="131"/>
      <c r="BS76" s="99"/>
      <c r="BT76" s="130">
        <f>S76</f>
        <v>0</v>
      </c>
      <c r="BU76" s="131">
        <f>AG76</f>
        <v>0</v>
      </c>
      <c r="BV76" s="131"/>
      <c r="BW76" s="101"/>
      <c r="BX76" s="102"/>
      <c r="BY76" s="103"/>
      <c r="BZ76" s="104"/>
      <c r="CA76" s="105"/>
      <c r="CB76" s="627"/>
      <c r="CC76" s="107"/>
      <c r="CD76" s="108"/>
      <c r="CE76" s="109"/>
      <c r="CF76" s="1320" t="s">
        <v>103</v>
      </c>
      <c r="CG76" s="217"/>
      <c r="CH76" s="1312"/>
      <c r="CI76" s="1312"/>
      <c r="CJ76" s="1312"/>
      <c r="CK76" s="1313"/>
      <c r="CL76" s="1315"/>
      <c r="CM76" s="1361"/>
      <c r="CN76" s="1361"/>
      <c r="CO76" s="1361"/>
      <c r="CP76" s="1322"/>
      <c r="CQ76" s="1322"/>
      <c r="CR76" s="1322"/>
      <c r="CS76" s="1313"/>
      <c r="CT76" s="1315"/>
      <c r="CU76" s="602"/>
    </row>
    <row r="77" spans="1:99" ht="30" hidden="1" customHeight="1" outlineLevel="1">
      <c r="A77" s="484"/>
      <c r="B77" s="247"/>
      <c r="C77" s="247"/>
      <c r="D77" s="248"/>
      <c r="E77" s="248"/>
      <c r="F77" s="247"/>
      <c r="G77" s="80"/>
      <c r="H77" s="80"/>
      <c r="I77" s="80"/>
      <c r="J77" s="80"/>
      <c r="K77" s="66"/>
      <c r="L77" s="453"/>
      <c r="M77" s="252"/>
      <c r="N77" s="252"/>
      <c r="O77" s="71"/>
      <c r="P77" s="71"/>
      <c r="Q77" s="71"/>
      <c r="R77" s="273"/>
      <c r="S77" s="85"/>
      <c r="T77" s="71"/>
      <c r="U77" s="537"/>
      <c r="V77" s="70"/>
      <c r="W77" s="70"/>
      <c r="X77" s="85"/>
      <c r="Y77" s="71"/>
      <c r="Z77" s="537"/>
      <c r="AA77" s="70"/>
      <c r="AB77" s="134"/>
      <c r="AC77" s="555"/>
      <c r="AD77" s="555"/>
      <c r="AE77" s="1734"/>
      <c r="AF77" s="78"/>
      <c r="AG77" s="75"/>
      <c r="AH77" s="76"/>
      <c r="AI77" s="77"/>
      <c r="AJ77" s="77"/>
      <c r="AK77" s="74"/>
      <c r="AL77" s="75"/>
      <c r="AM77" s="78"/>
      <c r="AN77" s="74"/>
      <c r="AO77" s="256"/>
      <c r="AP77" s="81"/>
      <c r="AQ77" s="80"/>
      <c r="AR77" s="80"/>
      <c r="AS77" s="247"/>
      <c r="AT77" s="247"/>
      <c r="AU77" s="68"/>
      <c r="AV77" s="485"/>
      <c r="AW77" s="455"/>
      <c r="AX77" s="707"/>
      <c r="AY77" s="64"/>
      <c r="AZ77" s="64"/>
      <c r="BA77" s="64"/>
      <c r="BB77" s="1420"/>
      <c r="BC77" s="1484"/>
      <c r="BD77" s="617"/>
      <c r="BE77" s="618"/>
      <c r="BF77" s="457"/>
      <c r="BG77" s="450"/>
      <c r="BH77" s="450"/>
      <c r="BI77" s="706"/>
      <c r="BJ77" s="706"/>
      <c r="BK77" s="706"/>
      <c r="BL77" s="91"/>
      <c r="BM77" s="94"/>
      <c r="BN77" s="91"/>
      <c r="BO77" s="1319"/>
      <c r="BP77" s="1388">
        <f>AC77</f>
        <v>0</v>
      </c>
      <c r="BQ77" s="99"/>
      <c r="BR77" s="131"/>
      <c r="BS77" s="99"/>
      <c r="BT77" s="130">
        <f>S77</f>
        <v>0</v>
      </c>
      <c r="BU77" s="131">
        <f>AG77</f>
        <v>0</v>
      </c>
      <c r="BV77" s="131"/>
      <c r="BW77" s="101"/>
      <c r="BX77" s="102"/>
      <c r="BY77" s="103"/>
      <c r="BZ77" s="104"/>
      <c r="CA77" s="105"/>
      <c r="CB77" s="627"/>
      <c r="CC77" s="107"/>
      <c r="CD77" s="108"/>
      <c r="CE77" s="109"/>
      <c r="CF77" s="1320"/>
      <c r="CG77" s="217"/>
      <c r="CH77" s="1312"/>
      <c r="CI77" s="1312"/>
      <c r="CJ77" s="1312"/>
      <c r="CK77" s="1313"/>
      <c r="CL77" s="1315"/>
      <c r="CM77" s="1361"/>
      <c r="CN77" s="1361"/>
      <c r="CO77" s="1361"/>
      <c r="CP77" s="1322"/>
      <c r="CQ77" s="1322"/>
      <c r="CR77" s="1322"/>
      <c r="CS77" s="1313"/>
      <c r="CT77" s="1315"/>
      <c r="CU77" s="602"/>
    </row>
    <row r="78" spans="1:99" ht="30" hidden="1" customHeight="1" outlineLevel="1">
      <c r="A78" s="1488"/>
      <c r="B78" s="247"/>
      <c r="C78" s="247"/>
      <c r="D78" s="62"/>
      <c r="E78" s="62"/>
      <c r="F78" s="247"/>
      <c r="G78" s="80"/>
      <c r="H78" s="322"/>
      <c r="I78" s="80"/>
      <c r="J78" s="80"/>
      <c r="K78" s="271"/>
      <c r="L78" s="271"/>
      <c r="M78" s="68"/>
      <c r="N78" s="68"/>
      <c r="O78" s="70"/>
      <c r="P78" s="70"/>
      <c r="Q78" s="70"/>
      <c r="R78" s="249"/>
      <c r="S78" s="250"/>
      <c r="T78" s="70"/>
      <c r="U78" s="70"/>
      <c r="V78" s="70"/>
      <c r="W78" s="70"/>
      <c r="X78" s="250"/>
      <c r="Y78" s="70"/>
      <c r="Z78" s="70"/>
      <c r="AA78" s="70"/>
      <c r="AB78" s="274"/>
      <c r="AC78" s="319"/>
      <c r="AD78" s="288"/>
      <c r="AE78" s="1724"/>
      <c r="AF78" s="78"/>
      <c r="AG78" s="75"/>
      <c r="AH78" s="319"/>
      <c r="AI78" s="288"/>
      <c r="AJ78" s="77"/>
      <c r="AK78" s="74"/>
      <c r="AL78" s="75"/>
      <c r="AM78" s="78"/>
      <c r="AN78" s="289"/>
      <c r="AO78" s="256"/>
      <c r="AP78" s="74"/>
      <c r="AQ78" s="66"/>
      <c r="AR78" s="247"/>
      <c r="AS78" s="247"/>
      <c r="AT78" s="247"/>
      <c r="AU78" s="247"/>
      <c r="AV78" s="387"/>
      <c r="AW78" s="89"/>
      <c r="AX78" s="84"/>
      <c r="AY78" s="64"/>
      <c r="AZ78" s="64"/>
      <c r="BA78" s="250"/>
      <c r="BB78" s="516"/>
      <c r="BC78" s="1484"/>
      <c r="BD78" s="282"/>
      <c r="BE78" s="282"/>
      <c r="BF78" s="282"/>
      <c r="BG78" s="281"/>
      <c r="BH78" s="281"/>
      <c r="BI78" s="281"/>
      <c r="BJ78" s="281"/>
      <c r="BK78" s="281"/>
      <c r="BL78" s="281"/>
      <c r="BM78" s="282"/>
      <c r="BN78" s="263"/>
      <c r="BO78" s="8"/>
      <c r="BP78" s="1388">
        <f>AC78</f>
        <v>0</v>
      </c>
      <c r="BQ78" s="99"/>
      <c r="BR78" s="131"/>
      <c r="BS78" s="99"/>
      <c r="BT78" s="130">
        <f>S78</f>
        <v>0</v>
      </c>
      <c r="BU78" s="131">
        <f>AG78</f>
        <v>0</v>
      </c>
      <c r="BV78" s="131"/>
      <c r="BW78" s="101"/>
      <c r="BX78" s="102"/>
      <c r="BY78" s="103"/>
      <c r="BZ78" s="104"/>
      <c r="CA78" s="105"/>
      <c r="CB78" s="627"/>
      <c r="CC78" s="107"/>
      <c r="CD78" s="108"/>
      <c r="CE78" s="109"/>
      <c r="CF78" s="1320"/>
      <c r="CG78" s="217"/>
      <c r="CH78" s="1312"/>
      <c r="CI78" s="1312"/>
      <c r="CJ78" s="1312"/>
      <c r="CK78" s="1313"/>
      <c r="CL78" s="1315"/>
      <c r="CM78" s="1361"/>
      <c r="CN78" s="1361"/>
      <c r="CO78" s="1361"/>
      <c r="CP78" s="1322"/>
      <c r="CQ78" s="1322"/>
      <c r="CR78" s="1322"/>
      <c r="CS78" s="1313"/>
      <c r="CT78" s="1315"/>
      <c r="CU78" s="602"/>
    </row>
    <row r="79" spans="1:99" ht="30" hidden="1" customHeight="1" outlineLevel="1">
      <c r="A79" s="148" t="s">
        <v>86</v>
      </c>
      <c r="B79" s="149">
        <f>COUNTIF(A74:A78,$B$1)</f>
        <v>0</v>
      </c>
      <c r="C79" s="150"/>
      <c r="D79" s="151"/>
      <c r="E79" s="151"/>
      <c r="F79" s="151"/>
      <c r="G79" s="152">
        <f>SUMIF(A74:A78,$B$1,G74:G78)</f>
        <v>0</v>
      </c>
      <c r="H79" s="152">
        <f>SUMIF(A74:A78,$B$1,H74:H78)</f>
        <v>0</v>
      </c>
      <c r="I79" s="152">
        <f>SUM(I74:I78)</f>
        <v>0</v>
      </c>
      <c r="J79" s="152"/>
      <c r="K79" s="152"/>
      <c r="L79" s="152"/>
      <c r="M79" s="152"/>
      <c r="N79" s="152"/>
      <c r="O79" s="152"/>
      <c r="P79" s="152"/>
      <c r="Q79" s="152"/>
      <c r="R79" s="152"/>
      <c r="S79" s="152"/>
      <c r="T79" s="152"/>
      <c r="U79" s="151"/>
      <c r="V79" s="151"/>
      <c r="W79" s="151"/>
      <c r="X79" s="152"/>
      <c r="Y79" s="152"/>
      <c r="Z79" s="151"/>
      <c r="AA79" s="151"/>
      <c r="AB79" s="151"/>
      <c r="AC79" s="154"/>
      <c r="AD79" s="155"/>
      <c r="AE79" s="1718"/>
      <c r="AF79" s="158"/>
      <c r="AG79" s="157"/>
      <c r="AH79" s="296"/>
      <c r="AI79" s="156"/>
      <c r="AJ79" s="156"/>
      <c r="AK79" s="152"/>
      <c r="AL79" s="157"/>
      <c r="AM79" s="297">
        <f>COUNTA(AM74:AM78)</f>
        <v>0</v>
      </c>
      <c r="AN79" s="152">
        <f>SUM(AN74:AN78)</f>
        <v>0</v>
      </c>
      <c r="AO79" s="152">
        <f>SUM(AO74:AO78)</f>
        <v>0</v>
      </c>
      <c r="AP79" s="161"/>
      <c r="AQ79" s="151"/>
      <c r="AR79" s="151"/>
      <c r="AS79" s="151"/>
      <c r="AT79" s="151"/>
      <c r="AU79" s="151"/>
      <c r="AV79" s="151"/>
      <c r="AW79" s="151"/>
      <c r="AX79" s="163">
        <f>SUM(AX74:AX78)</f>
        <v>0</v>
      </c>
      <c r="AY79" s="163">
        <f>SUM(AY74:AY78)</f>
        <v>0</v>
      </c>
      <c r="AZ79" s="163">
        <f>SUM(AZ74:AZ78)</f>
        <v>0</v>
      </c>
      <c r="BA79" s="221" t="str">
        <f>IF(COUNT(BA74:BA78)=0,"-",AVERAGE(BA74:BA78))</f>
        <v>-</v>
      </c>
      <c r="BB79" s="1386"/>
      <c r="BC79" s="341"/>
      <c r="BD79" s="340"/>
      <c r="BE79" s="341"/>
      <c r="BF79" s="341"/>
      <c r="BG79" s="341"/>
      <c r="BH79" s="341"/>
      <c r="BI79" s="341"/>
      <c r="BJ79" s="341"/>
      <c r="BK79" s="341"/>
      <c r="BL79" s="341"/>
      <c r="BM79" s="341"/>
      <c r="BN79" s="163">
        <f>SUM(BN64:BN78)</f>
        <v>0</v>
      </c>
      <c r="BO79" s="149">
        <f>SUM(BO64:BO78)</f>
        <v>0</v>
      </c>
      <c r="BP79" s="1489">
        <f>COUNTA(BP64:BP78)</f>
        <v>11</v>
      </c>
      <c r="BQ79" s="1899">
        <f>SUM(BQ74:BQ78,BQ64:BQ69)</f>
        <v>0</v>
      </c>
      <c r="BR79" s="1891">
        <f>SUM(BR74:BR78,BR64:BR69)</f>
        <v>0</v>
      </c>
      <c r="BS79" s="712"/>
      <c r="BT79" s="496">
        <f>COUNTA(BT64:BT78)</f>
        <v>11</v>
      </c>
      <c r="BU79" s="462">
        <f>SUM(BU64:BU78)</f>
        <v>0</v>
      </c>
      <c r="BV79" s="463">
        <f>SUM(BV64:BV78)</f>
        <v>0</v>
      </c>
      <c r="BW79" s="684"/>
      <c r="BX79" s="685"/>
      <c r="BY79" s="173">
        <f>AM79</f>
        <v>0</v>
      </c>
      <c r="BZ79" s="173">
        <f>COUNTIF(BZ74:BZ78,"=0")</f>
        <v>0</v>
      </c>
      <c r="CA79" s="174">
        <f>SUM(COUNTIF(BZ74:BZ78,"&lt;0"),COUNTIF(BZ74:BZ78,"&gt;0"))</f>
        <v>0</v>
      </c>
      <c r="CB79" s="225">
        <f>COUNTIF(CB69:CB77,"1")</f>
        <v>0</v>
      </c>
      <c r="CC79" s="226">
        <f>SUM(CC69:CC77)</f>
        <v>0</v>
      </c>
      <c r="CD79" s="227">
        <f>COUNTIF(CD69:CD78,"1")</f>
        <v>0</v>
      </c>
      <c r="CE79" s="228">
        <f>SUM(CE69:CE78)</f>
        <v>0</v>
      </c>
      <c r="CF79" s="731"/>
      <c r="CG79" s="657"/>
      <c r="CH79" s="1312"/>
      <c r="CI79" s="1312"/>
      <c r="CJ79" s="1312"/>
      <c r="CK79" s="1378"/>
      <c r="CL79" s="1378"/>
      <c r="CM79" s="1378"/>
      <c r="CN79" s="1378"/>
      <c r="CO79" s="1378"/>
      <c r="CP79" s="1322"/>
      <c r="CQ79" s="1322"/>
      <c r="CR79" s="1322"/>
      <c r="CS79" s="1378"/>
      <c r="CT79" s="1378"/>
      <c r="CU79" s="602"/>
    </row>
    <row r="80" spans="1:99" ht="30" hidden="1" customHeight="1" outlineLevel="1">
      <c r="A80" s="179" t="s">
        <v>87</v>
      </c>
      <c r="B80" s="348">
        <f>COUNT(A74:A78)</f>
        <v>0</v>
      </c>
      <c r="C80" s="181"/>
      <c r="D80" s="182"/>
      <c r="E80" s="182"/>
      <c r="F80" s="182"/>
      <c r="G80" s="184">
        <f>SUM(G74:G78)</f>
        <v>0</v>
      </c>
      <c r="H80" s="184">
        <f>SUM(H74:H78)</f>
        <v>0</v>
      </c>
      <c r="I80" s="184"/>
      <c r="J80" s="184">
        <f>SUM(J74:J78)</f>
        <v>0</v>
      </c>
      <c r="K80" s="184"/>
      <c r="L80" s="184"/>
      <c r="M80" s="184"/>
      <c r="N80" s="184"/>
      <c r="O80" s="184"/>
      <c r="P80" s="184"/>
      <c r="Q80" s="184"/>
      <c r="R80" s="185"/>
      <c r="S80" s="187"/>
      <c r="T80" s="185"/>
      <c r="U80" s="182"/>
      <c r="V80" s="182"/>
      <c r="W80" s="182"/>
      <c r="X80" s="187"/>
      <c r="Y80" s="185"/>
      <c r="Z80" s="182"/>
      <c r="AA80" s="182"/>
      <c r="AB80" s="182"/>
      <c r="AC80" s="186"/>
      <c r="AD80" s="186"/>
      <c r="AE80" s="1719"/>
      <c r="AF80" s="184"/>
      <c r="AG80" s="184"/>
      <c r="AH80" s="186"/>
      <c r="AI80" s="186"/>
      <c r="AJ80" s="186"/>
      <c r="AK80" s="184"/>
      <c r="AL80" s="184"/>
      <c r="AM80" s="182">
        <f>SUM(AM79,AM70)</f>
        <v>0</v>
      </c>
      <c r="AN80" s="184">
        <f>SUM(AN79,AN70)</f>
        <v>0</v>
      </c>
      <c r="AO80" s="182"/>
      <c r="AP80" s="187"/>
      <c r="AQ80" s="182"/>
      <c r="AR80" s="182"/>
      <c r="AS80" s="182"/>
      <c r="AT80" s="182"/>
      <c r="AU80" s="182"/>
      <c r="AV80" s="182"/>
      <c r="AW80" s="713"/>
      <c r="AX80" s="188">
        <f>SUM(AX79,AX70)</f>
        <v>0</v>
      </c>
      <c r="AY80" s="188">
        <f>SUM(AY79,AY70)</f>
        <v>0</v>
      </c>
      <c r="AZ80" s="188">
        <f>SUM(AZ79,AZ70)</f>
        <v>0</v>
      </c>
      <c r="BA80" s="229" t="str">
        <f>IF(COUNT(BA74:BA78,BA64:BA69)=0,"-",AVERAGE(BA74:BA78,BA64:BA69))</f>
        <v>-</v>
      </c>
      <c r="BB80" s="188">
        <f>+BB71</f>
        <v>0</v>
      </c>
      <c r="BC80" s="476"/>
      <c r="BD80" s="535"/>
      <c r="BE80" s="476"/>
      <c r="BF80" s="476"/>
      <c r="BG80" s="476"/>
      <c r="BH80" s="476"/>
      <c r="BI80" s="476"/>
      <c r="BJ80" s="476"/>
      <c r="BK80" s="476"/>
      <c r="BL80" s="476"/>
      <c r="BM80" s="476"/>
      <c r="BN80" s="308"/>
      <c r="BO80" s="549"/>
      <c r="BP80" s="1411"/>
      <c r="BQ80" s="1900"/>
      <c r="BR80" s="354"/>
      <c r="BS80" s="356">
        <f>SUMIF(BS64:BS78,"",BR64:BR78)</f>
        <v>0</v>
      </c>
      <c r="BT80" s="471"/>
      <c r="BU80" s="472"/>
      <c r="BV80" s="473"/>
      <c r="BW80" s="360"/>
      <c r="BX80" s="689"/>
      <c r="BY80" s="197">
        <f>SUM(BY74:BY78)</f>
        <v>0</v>
      </c>
      <c r="BZ80" s="197">
        <f>SUMIF(BZ74:BZ78,"=0",CA74:CA78)</f>
        <v>0</v>
      </c>
      <c r="CA80" s="198">
        <f>SUMIF(BZ74:BZ78,"&lt;&gt;0",CA74:CA78)</f>
        <v>0</v>
      </c>
      <c r="CB80" s="197"/>
      <c r="CC80" s="197"/>
      <c r="CD80" s="197"/>
      <c r="CE80" s="197"/>
      <c r="CF80" s="744"/>
      <c r="CG80" s="657"/>
      <c r="CH80" s="1312"/>
      <c r="CI80" s="1312"/>
      <c r="CJ80" s="1312"/>
      <c r="CK80" s="1379"/>
      <c r="CL80" s="1378"/>
      <c r="CM80" s="1379"/>
      <c r="CN80" s="1335"/>
      <c r="CO80" s="1379"/>
      <c r="CP80" s="1322"/>
      <c r="CQ80" s="1322"/>
      <c r="CR80" s="1322"/>
      <c r="CS80" s="1379"/>
      <c r="CT80" s="1378"/>
      <c r="CU80" s="602"/>
    </row>
    <row r="81" spans="1:100" ht="30" hidden="1" customHeight="1" outlineLevel="1" collapsed="1">
      <c r="A81" s="2144" t="s">
        <v>105</v>
      </c>
      <c r="B81" s="2144"/>
      <c r="C81" s="2144"/>
      <c r="D81" s="2144"/>
      <c r="E81" s="2144"/>
      <c r="F81" s="2144"/>
      <c r="G81" s="21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1703"/>
      <c r="AF81" s="44"/>
      <c r="AG81" s="45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5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78"/>
      <c r="BO81" s="478"/>
      <c r="BP81" s="1478"/>
      <c r="BQ81" s="1901"/>
      <c r="BR81" s="551"/>
      <c r="BS81" s="552"/>
      <c r="BT81" s="207"/>
      <c r="BU81" s="208"/>
      <c r="BV81" s="209"/>
      <c r="BW81" s="52"/>
      <c r="BX81" s="53"/>
      <c r="BY81" s="53"/>
      <c r="BZ81" s="53"/>
      <c r="CA81" s="206"/>
      <c r="CB81" s="482"/>
      <c r="CC81" s="478"/>
      <c r="CD81" s="478"/>
      <c r="CE81" s="47"/>
      <c r="CF81" s="482"/>
      <c r="CG81" s="602"/>
      <c r="CH81" s="1312"/>
      <c r="CI81" s="1312"/>
      <c r="CJ81" s="1312"/>
      <c r="CK81" s="1313"/>
      <c r="CL81" s="1315"/>
      <c r="CM81" s="1361"/>
      <c r="CN81" s="1361"/>
      <c r="CO81" s="1361"/>
      <c r="CP81" s="1322"/>
      <c r="CQ81" s="1322"/>
      <c r="CR81" s="1322"/>
      <c r="CS81" s="1313"/>
      <c r="CT81" s="1315"/>
      <c r="CU81" s="602"/>
    </row>
    <row r="82" spans="1:100" ht="36" hidden="1" customHeight="1" outlineLevel="1">
      <c r="A82" s="310"/>
      <c r="B82" s="247"/>
      <c r="C82" s="247"/>
      <c r="D82" s="248"/>
      <c r="E82" s="62"/>
      <c r="F82" s="247"/>
      <c r="G82" s="65">
        <f>M82-S82</f>
        <v>0</v>
      </c>
      <c r="H82" s="80">
        <f>M82-S82</f>
        <v>0</v>
      </c>
      <c r="I82" s="65">
        <f>IF($B$2&gt;=A82,($B$2-A82+1)*H82,"-")</f>
        <v>0</v>
      </c>
      <c r="J82" s="65">
        <f>($A$2-A82+1)*H82</f>
        <v>0</v>
      </c>
      <c r="K82" s="629"/>
      <c r="L82" s="252">
        <f ca="1">IF((AC82)&lt;$L$2-DAY($L$2)+1,H82,H82+S82)</f>
        <v>0</v>
      </c>
      <c r="M82" s="68"/>
      <c r="N82" s="68"/>
      <c r="O82" s="372"/>
      <c r="P82" s="70"/>
      <c r="Q82" s="70"/>
      <c r="R82" s="629"/>
      <c r="S82" s="64"/>
      <c r="T82" s="71"/>
      <c r="U82" s="71"/>
      <c r="V82" s="71"/>
      <c r="W82" s="71"/>
      <c r="X82" s="63"/>
      <c r="Y82" s="71"/>
      <c r="Z82" s="71"/>
      <c r="AA82" s="71"/>
      <c r="AB82" s="702" t="s">
        <v>106</v>
      </c>
      <c r="AC82" s="73"/>
      <c r="AD82" s="454"/>
      <c r="AE82" s="1728">
        <f>AD82</f>
        <v>0</v>
      </c>
      <c r="AF82" s="78">
        <f>IF(AC82="переход","",AD82-AC82)</f>
        <v>0</v>
      </c>
      <c r="AG82" s="75" t="str">
        <f>IF(S82="","",AF82*S82)</f>
        <v/>
      </c>
      <c r="AH82" s="541"/>
      <c r="AI82" s="77"/>
      <c r="AJ82" s="77"/>
      <c r="AK82" s="74"/>
      <c r="AL82" s="75"/>
      <c r="AM82" s="78"/>
      <c r="AN82" s="74"/>
      <c r="AO82" s="63"/>
      <c r="AP82" s="74"/>
      <c r="AQ82" s="112"/>
      <c r="AR82" s="68"/>
      <c r="AS82" s="68"/>
      <c r="AT82" s="68"/>
      <c r="AU82" s="68"/>
      <c r="AV82" s="258"/>
      <c r="AW82" s="843"/>
      <c r="AX82" s="84" t="str">
        <f>IF(AN82&lt;1,"-",AN82)</f>
        <v>-</v>
      </c>
      <c r="AY82" s="64" t="str">
        <f>IF(AX82="-","-",($B$2-AM82+1)*AX82)</f>
        <v>-</v>
      </c>
      <c r="AZ82" s="64" t="str">
        <f>IF(AX82="-","-",AX82-H82)</f>
        <v>-</v>
      </c>
      <c r="BA82" s="312" t="str">
        <f>IF(AX82="-","-",AX82/(G82*0.9))</f>
        <v>-</v>
      </c>
      <c r="BB82" s="516"/>
      <c r="BC82" s="933"/>
      <c r="BD82" s="716"/>
      <c r="BE82" s="90"/>
      <c r="BF82" s="717"/>
      <c r="BG82" s="717"/>
      <c r="BH82" s="717"/>
      <c r="BI82" s="717"/>
      <c r="BJ82" s="717"/>
      <c r="BK82" s="717"/>
      <c r="BL82" s="91"/>
      <c r="BM82" s="91"/>
      <c r="BN82" s="94"/>
      <c r="BO82" s="1319"/>
      <c r="BP82" s="1485"/>
      <c r="BQ82" s="99"/>
      <c r="BR82" s="132"/>
      <c r="BS82" s="99"/>
      <c r="BT82" s="284"/>
      <c r="BU82" s="214"/>
      <c r="BV82" s="214"/>
      <c r="BW82" s="101"/>
      <c r="BX82" s="102"/>
      <c r="BY82" s="103"/>
      <c r="BZ82" s="104"/>
      <c r="CA82" s="105"/>
      <c r="CB82" s="718"/>
      <c r="CC82" s="719"/>
      <c r="CD82" s="719"/>
      <c r="CE82" s="720"/>
      <c r="CF82" s="721" t="s">
        <v>105</v>
      </c>
      <c r="CG82" s="217"/>
      <c r="CH82" s="1312">
        <v>1.0999999999999999E-2</v>
      </c>
      <c r="CI82" s="1312">
        <v>8.3000000000000001E-3</v>
      </c>
      <c r="CJ82" s="1312">
        <v>1.9300000000000001E-2</v>
      </c>
      <c r="CK82" s="1313">
        <f>IF($BP82&lt;=$B$1,T82-T82*CH82,T82)</f>
        <v>0</v>
      </c>
      <c r="CL82" s="1321">
        <f>IF($BP82&lt;=$B$1,S82-S82*CJ82,S82)</f>
        <v>0</v>
      </c>
      <c r="CM82" s="1321">
        <f>IF(CK82=0,M82-S82,($N82-$CK82)*$M82/$N82)</f>
        <v>0</v>
      </c>
      <c r="CN82" s="1321">
        <f>IF(CK82=0,0,-($CL82-$CK82*$M82/$N82))</f>
        <v>0</v>
      </c>
      <c r="CO82" s="1321">
        <f>CM82+CN82</f>
        <v>0</v>
      </c>
      <c r="CP82" s="1322">
        <v>1.17E-2</v>
      </c>
      <c r="CQ82" s="1322">
        <v>7.4000000000000003E-3</v>
      </c>
      <c r="CR82" s="1322">
        <v>1.9099999999999999E-2</v>
      </c>
      <c r="CS82" s="1313">
        <f>IF($A82&lt;=$B$1,N82-N82*CP82,N82)</f>
        <v>0</v>
      </c>
      <c r="CT82" s="1321">
        <f>IF($A82&lt;=$B$1,M82-M82*CR82,M82)</f>
        <v>0</v>
      </c>
      <c r="CU82" s="602"/>
    </row>
    <row r="83" spans="1:100" ht="30" hidden="1" customHeight="1" outlineLevel="1">
      <c r="A83" s="59"/>
      <c r="B83" s="247"/>
      <c r="C83" s="247"/>
      <c r="D83" s="248"/>
      <c r="E83" s="248"/>
      <c r="F83" s="247"/>
      <c r="G83" s="65"/>
      <c r="H83" s="80"/>
      <c r="I83" s="65"/>
      <c r="J83" s="65"/>
      <c r="K83" s="629"/>
      <c r="L83" s="252"/>
      <c r="M83" s="68"/>
      <c r="N83" s="252"/>
      <c r="O83" s="69"/>
      <c r="P83" s="71"/>
      <c r="Q83" s="71"/>
      <c r="R83" s="273"/>
      <c r="S83" s="63"/>
      <c r="T83" s="71"/>
      <c r="U83" s="85"/>
      <c r="V83" s="71"/>
      <c r="W83" s="71"/>
      <c r="X83" s="63"/>
      <c r="Y83" s="71"/>
      <c r="Z83" s="71"/>
      <c r="AA83" s="71"/>
      <c r="AB83" s="274" t="s">
        <v>106</v>
      </c>
      <c r="AC83" s="319"/>
      <c r="AD83" s="288"/>
      <c r="AE83" s="1728">
        <f>AD83</f>
        <v>0</v>
      </c>
      <c r="AF83" s="78">
        <f>IF(AC83="переход","",AD83-AC83)</f>
        <v>0</v>
      </c>
      <c r="AG83" s="75" t="str">
        <f>IF(S83="","",AF83*S83)</f>
        <v/>
      </c>
      <c r="AH83" s="541"/>
      <c r="AI83" s="77"/>
      <c r="AJ83" s="77"/>
      <c r="AK83" s="74"/>
      <c r="AL83" s="75"/>
      <c r="AM83" s="78"/>
      <c r="AN83" s="289"/>
      <c r="AO83" s="256"/>
      <c r="AP83" s="289"/>
      <c r="AQ83" s="66"/>
      <c r="AR83" s="247"/>
      <c r="AS83" s="247"/>
      <c r="AT83" s="247"/>
      <c r="AU83" s="247"/>
      <c r="AV83" s="387"/>
      <c r="AW83" s="564"/>
      <c r="AX83" s="84"/>
      <c r="AY83" s="64"/>
      <c r="AZ83" s="64"/>
      <c r="BA83" s="64"/>
      <c r="BB83" s="516"/>
      <c r="BC83" s="933"/>
      <c r="BD83" s="716"/>
      <c r="BE83" s="90"/>
      <c r="BF83" s="717"/>
      <c r="BG83" s="717"/>
      <c r="BH83" s="717"/>
      <c r="BI83" s="717"/>
      <c r="BJ83" s="717"/>
      <c r="BK83" s="717"/>
      <c r="BL83" s="717"/>
      <c r="BM83" s="717"/>
      <c r="BN83" s="94"/>
      <c r="BO83" s="1319"/>
      <c r="BP83" s="1485">
        <f>AC83</f>
        <v>0</v>
      </c>
      <c r="BQ83" s="99"/>
      <c r="BR83" s="132"/>
      <c r="BS83" s="99"/>
      <c r="BT83" s="284">
        <f>S83</f>
        <v>0</v>
      </c>
      <c r="BU83" s="214" t="str">
        <f>AG83</f>
        <v/>
      </c>
      <c r="BV83" s="214" t="str">
        <f>IF(AE83&gt;$CC$7,S83,IF(AE83="перех",(S83),"-"))</f>
        <v>-</v>
      </c>
      <c r="BW83" s="101"/>
      <c r="BX83" s="102"/>
      <c r="BY83" s="103"/>
      <c r="BZ83" s="104"/>
      <c r="CA83" s="105"/>
      <c r="CB83" s="627"/>
      <c r="CC83" s="107"/>
      <c r="CD83" s="108"/>
      <c r="CE83" s="109"/>
      <c r="CF83" s="721"/>
      <c r="CG83" s="217"/>
      <c r="CH83" s="1312"/>
      <c r="CI83" s="1312"/>
      <c r="CJ83" s="1312"/>
      <c r="CK83" s="1313">
        <f>IF($BP83&lt;=$B$1,T83-T83*CH83,T83)</f>
        <v>0</v>
      </c>
      <c r="CL83" s="1321">
        <f>IF($BP83&lt;=$B$1,S83-S83*CJ83,S83)</f>
        <v>0</v>
      </c>
      <c r="CM83" s="1321">
        <f>IF(CK83=0,M83-S83,($N83-$CK83)*$M83/$N83)</f>
        <v>0</v>
      </c>
      <c r="CN83" s="1321">
        <f>IF(CK83=0,0,-($CL83-$CK83*$M83/$N83))</f>
        <v>0</v>
      </c>
      <c r="CO83" s="1321">
        <f>CM83+CN83</f>
        <v>0</v>
      </c>
      <c r="CP83" s="1322"/>
      <c r="CQ83" s="1322"/>
      <c r="CR83" s="1322"/>
      <c r="CS83" s="1313">
        <f>IF($A83&lt;=$B$1,N83-N83*CP83,N83)</f>
        <v>0</v>
      </c>
      <c r="CT83" s="1321">
        <f>IF($A83&lt;=$B$1,M83-M83*CR83,M83)</f>
        <v>0</v>
      </c>
      <c r="CU83" s="602"/>
    </row>
    <row r="84" spans="1:100" ht="30" hidden="1" customHeight="1" outlineLevel="1">
      <c r="A84" s="722"/>
      <c r="B84" s="270"/>
      <c r="C84" s="270"/>
      <c r="D84" s="62"/>
      <c r="E84" s="62"/>
      <c r="F84" s="270"/>
      <c r="G84" s="80"/>
      <c r="H84" s="80"/>
      <c r="I84" s="65"/>
      <c r="J84" s="65"/>
      <c r="K84" s="723"/>
      <c r="L84" s="80"/>
      <c r="M84" s="252"/>
      <c r="N84" s="252"/>
      <c r="O84" s="71"/>
      <c r="P84" s="71"/>
      <c r="Q84" s="71"/>
      <c r="R84" s="273"/>
      <c r="S84" s="85"/>
      <c r="T84" s="71"/>
      <c r="U84" s="71"/>
      <c r="V84" s="71"/>
      <c r="W84" s="71"/>
      <c r="X84" s="85"/>
      <c r="Y84" s="71"/>
      <c r="Z84" s="71"/>
      <c r="AA84" s="71"/>
      <c r="AB84" s="274"/>
      <c r="AC84" s="724"/>
      <c r="AD84" s="288"/>
      <c r="AE84" s="1735"/>
      <c r="AF84" s="78"/>
      <c r="AG84" s="75"/>
      <c r="AH84" s="541"/>
      <c r="AI84" s="77"/>
      <c r="AJ84" s="77"/>
      <c r="AK84" s="74"/>
      <c r="AL84" s="75"/>
      <c r="AM84" s="78"/>
      <c r="AN84" s="289"/>
      <c r="AO84" s="256"/>
      <c r="AP84" s="289"/>
      <c r="AQ84" s="66"/>
      <c r="AR84" s="247"/>
      <c r="AS84" s="247"/>
      <c r="AT84" s="247"/>
      <c r="AU84" s="247"/>
      <c r="AV84" s="387"/>
      <c r="AW84" s="564"/>
      <c r="AX84" s="84"/>
      <c r="AY84" s="64"/>
      <c r="AZ84" s="64"/>
      <c r="BA84" s="64"/>
      <c r="BB84" s="516"/>
      <c r="BC84" s="1490"/>
      <c r="BD84" s="716"/>
      <c r="BE84" s="717"/>
      <c r="BF84" s="717"/>
      <c r="BG84" s="717"/>
      <c r="BH84" s="717"/>
      <c r="BI84" s="717"/>
      <c r="BJ84" s="717"/>
      <c r="BK84" s="717"/>
      <c r="BL84" s="717"/>
      <c r="BM84" s="717"/>
      <c r="BN84" s="94"/>
      <c r="BO84" s="1319"/>
      <c r="BP84" s="1388">
        <f>AC84</f>
        <v>0</v>
      </c>
      <c r="BQ84" s="99"/>
      <c r="BR84" s="132"/>
      <c r="BS84" s="131"/>
      <c r="BT84" s="130">
        <f>S84</f>
        <v>0</v>
      </c>
      <c r="BU84" s="131">
        <f>AG84</f>
        <v>0</v>
      </c>
      <c r="BV84" s="131"/>
      <c r="BW84" s="101"/>
      <c r="BX84" s="102"/>
      <c r="BY84" s="103"/>
      <c r="BZ84" s="104"/>
      <c r="CA84" s="105"/>
      <c r="CB84" s="627"/>
      <c r="CC84" s="107"/>
      <c r="CD84" s="108"/>
      <c r="CE84" s="726"/>
      <c r="CF84" s="721"/>
      <c r="CG84" s="217"/>
      <c r="CH84" s="1312"/>
      <c r="CI84" s="1312"/>
      <c r="CJ84" s="1312"/>
      <c r="CK84" s="1313">
        <f>IF($BP84&lt;=$B$1,T84-T84*CH84,T84)</f>
        <v>0</v>
      </c>
      <c r="CL84" s="1321">
        <f>IF($BP84&lt;=$B$1,S84-S84*CJ84,S84)</f>
        <v>0</v>
      </c>
      <c r="CM84" s="1321">
        <f>IF(CK84=0,M84-S84,($N84-$CK84)*$M84/$N84)</f>
        <v>0</v>
      </c>
      <c r="CN84" s="1321">
        <f>IF(CK84=0,0,-($CL84-$CK84*$M84/$N84))</f>
        <v>0</v>
      </c>
      <c r="CO84" s="1321">
        <f>CM84+CN84</f>
        <v>0</v>
      </c>
      <c r="CP84" s="1322"/>
      <c r="CQ84" s="1322"/>
      <c r="CR84" s="1322"/>
      <c r="CS84" s="1313">
        <f>IF($A84&lt;=$B$1,N84-N84*CP84,N84)</f>
        <v>0</v>
      </c>
      <c r="CT84" s="1321">
        <f>IF($A84&lt;=$B$1,M84-M84*CR84,M84)</f>
        <v>0</v>
      </c>
      <c r="CU84" s="602"/>
    </row>
    <row r="85" spans="1:100" ht="30" hidden="1" customHeight="1" outlineLevel="1">
      <c r="A85" s="722"/>
      <c r="B85" s="727"/>
      <c r="C85" s="270"/>
      <c r="D85" s="62"/>
      <c r="E85" s="62"/>
      <c r="F85" s="270"/>
      <c r="G85" s="80"/>
      <c r="H85" s="80"/>
      <c r="I85" s="65"/>
      <c r="J85" s="65"/>
      <c r="K85" s="723"/>
      <c r="L85" s="80"/>
      <c r="M85" s="252"/>
      <c r="N85" s="252"/>
      <c r="O85" s="71"/>
      <c r="P85" s="71"/>
      <c r="Q85" s="71"/>
      <c r="R85" s="273"/>
      <c r="S85" s="85"/>
      <c r="T85" s="71"/>
      <c r="U85" s="71"/>
      <c r="V85" s="71"/>
      <c r="W85" s="71"/>
      <c r="X85" s="85"/>
      <c r="Y85" s="71"/>
      <c r="Z85" s="71"/>
      <c r="AA85" s="71"/>
      <c r="AB85" s="274"/>
      <c r="AC85" s="319"/>
      <c r="AD85" s="288"/>
      <c r="AE85" s="1735"/>
      <c r="AF85" s="78"/>
      <c r="AG85" s="75"/>
      <c r="AH85" s="541"/>
      <c r="AI85" s="77"/>
      <c r="AJ85" s="77"/>
      <c r="AK85" s="74"/>
      <c r="AL85" s="75"/>
      <c r="AM85" s="78"/>
      <c r="AN85" s="289"/>
      <c r="AO85" s="256"/>
      <c r="AP85" s="289"/>
      <c r="AQ85" s="66"/>
      <c r="AR85" s="247"/>
      <c r="AS85" s="247"/>
      <c r="AT85" s="247"/>
      <c r="AU85" s="247"/>
      <c r="AV85" s="387"/>
      <c r="AW85" s="564"/>
      <c r="AX85" s="84"/>
      <c r="AY85" s="64"/>
      <c r="AZ85" s="64"/>
      <c r="BA85" s="64"/>
      <c r="BB85" s="516"/>
      <c r="BC85" s="1490"/>
      <c r="BD85" s="716"/>
      <c r="BE85" s="717"/>
      <c r="BF85" s="717"/>
      <c r="BG85" s="717"/>
      <c r="BH85" s="717"/>
      <c r="BI85" s="717"/>
      <c r="BJ85" s="717"/>
      <c r="BK85" s="717"/>
      <c r="BL85" s="717"/>
      <c r="BM85" s="717"/>
      <c r="BN85" s="94"/>
      <c r="BO85" s="1319"/>
      <c r="BP85" s="1388">
        <f>AC85</f>
        <v>0</v>
      </c>
      <c r="BQ85" s="99"/>
      <c r="BR85" s="132"/>
      <c r="BS85" s="131"/>
      <c r="BT85" s="130">
        <f>S85</f>
        <v>0</v>
      </c>
      <c r="BU85" s="131">
        <f>AG85</f>
        <v>0</v>
      </c>
      <c r="BV85" s="131"/>
      <c r="BW85" s="101"/>
      <c r="BX85" s="102"/>
      <c r="BY85" s="103"/>
      <c r="BZ85" s="104"/>
      <c r="CA85" s="105"/>
      <c r="CB85" s="627"/>
      <c r="CC85" s="107"/>
      <c r="CD85" s="108"/>
      <c r="CE85" s="726"/>
      <c r="CF85" s="721"/>
      <c r="CG85" s="657"/>
      <c r="CH85" s="1312"/>
      <c r="CI85" s="1312"/>
      <c r="CJ85" s="1312"/>
      <c r="CK85" s="1313">
        <f>IF($BP85&lt;=$B$1,T85-T85*CH85,T85)</f>
        <v>0</v>
      </c>
      <c r="CL85" s="1321">
        <f>IF($BP85&lt;=$B$1,S85-S85*CJ85,S85)</f>
        <v>0</v>
      </c>
      <c r="CM85" s="1321">
        <f>IF(CK85=0,M85-S85,($N85-$CK85)*$M85/$N85)</f>
        <v>0</v>
      </c>
      <c r="CN85" s="1321">
        <f>IF(CK85=0,0,-($CL85-$CK85*$M85/$N85))</f>
        <v>0</v>
      </c>
      <c r="CO85" s="1321">
        <f>CM85+CN85</f>
        <v>0</v>
      </c>
      <c r="CP85" s="1322"/>
      <c r="CQ85" s="1322"/>
      <c r="CR85" s="1322"/>
      <c r="CS85" s="1313">
        <f>IF($A85&lt;=$B$1,N85-N85*CP85,N85)</f>
        <v>0</v>
      </c>
      <c r="CT85" s="1321">
        <f>IF($A85&lt;=$B$1,M85-M85*CR85,M85)</f>
        <v>0</v>
      </c>
      <c r="CU85" s="602"/>
    </row>
    <row r="86" spans="1:100" ht="30" hidden="1" customHeight="1" outlineLevel="1">
      <c r="A86" s="722"/>
      <c r="B86" s="270"/>
      <c r="C86" s="270"/>
      <c r="D86" s="62"/>
      <c r="E86" s="62"/>
      <c r="F86" s="270"/>
      <c r="G86" s="728"/>
      <c r="H86" s="80"/>
      <c r="I86" s="65"/>
      <c r="J86" s="65"/>
      <c r="K86" s="270"/>
      <c r="L86" s="80"/>
      <c r="M86" s="252"/>
      <c r="N86" s="252"/>
      <c r="O86" s="71"/>
      <c r="P86" s="71"/>
      <c r="Q86" s="71"/>
      <c r="R86" s="71"/>
      <c r="S86" s="85"/>
      <c r="T86" s="71"/>
      <c r="U86" s="71"/>
      <c r="V86" s="71"/>
      <c r="W86" s="71"/>
      <c r="X86" s="85"/>
      <c r="Y86" s="71"/>
      <c r="Z86" s="71"/>
      <c r="AA86" s="71"/>
      <c r="AB86" s="274"/>
      <c r="AC86" s="319"/>
      <c r="AD86" s="288"/>
      <c r="AE86" s="1735"/>
      <c r="AF86" s="78"/>
      <c r="AG86" s="75"/>
      <c r="AH86" s="541"/>
      <c r="AI86" s="77"/>
      <c r="AJ86" s="77"/>
      <c r="AK86" s="74"/>
      <c r="AL86" s="75"/>
      <c r="AM86" s="78"/>
      <c r="AN86" s="289"/>
      <c r="AO86" s="256"/>
      <c r="AP86" s="289"/>
      <c r="AQ86" s="66"/>
      <c r="AR86" s="247"/>
      <c r="AS86" s="247"/>
      <c r="AT86" s="247"/>
      <c r="AU86" s="247"/>
      <c r="AV86" s="387"/>
      <c r="AW86" s="564"/>
      <c r="AX86" s="84"/>
      <c r="AY86" s="64"/>
      <c r="AZ86" s="64"/>
      <c r="BA86" s="64"/>
      <c r="BB86" s="516"/>
      <c r="BC86" s="1490"/>
      <c r="BD86" s="291"/>
      <c r="BE86" s="729"/>
      <c r="BF86" s="729"/>
      <c r="BG86" s="729"/>
      <c r="BH86" s="729"/>
      <c r="BI86" s="729"/>
      <c r="BJ86" s="729"/>
      <c r="BK86" s="729"/>
      <c r="BL86" s="729"/>
      <c r="BM86" s="729"/>
      <c r="BN86" s="146"/>
      <c r="BO86" s="1332"/>
      <c r="BP86" s="1388">
        <f>AC86</f>
        <v>0</v>
      </c>
      <c r="BQ86" s="99"/>
      <c r="BR86" s="132"/>
      <c r="BS86" s="131"/>
      <c r="BT86" s="130">
        <f>S86</f>
        <v>0</v>
      </c>
      <c r="BU86" s="131">
        <f>AG86</f>
        <v>0</v>
      </c>
      <c r="BV86" s="131"/>
      <c r="BW86" s="101"/>
      <c r="BX86" s="102"/>
      <c r="BY86" s="103"/>
      <c r="BZ86" s="104"/>
      <c r="CA86" s="105"/>
      <c r="CB86" s="627"/>
      <c r="CC86" s="107"/>
      <c r="CD86" s="108"/>
      <c r="CE86" s="726"/>
      <c r="CF86" s="721"/>
      <c r="CG86" s="657"/>
      <c r="CH86" s="1312"/>
      <c r="CI86" s="1312"/>
      <c r="CJ86" s="1312"/>
      <c r="CK86" s="1313">
        <f>IF($BP86&lt;=$B$1,T86-T86*CH86,T86)</f>
        <v>0</v>
      </c>
      <c r="CL86" s="1321">
        <f>IF($BP86&lt;=$B$1,S86-S86*CJ86,S86)</f>
        <v>0</v>
      </c>
      <c r="CM86" s="1321">
        <f>IF(CK86=0,M86-S86,($N86-$CK86)*$M86/$N86)</f>
        <v>0</v>
      </c>
      <c r="CN86" s="1321">
        <f>IF(CK86=0,0,-($CL86-$CK86*$M86/$N86))</f>
        <v>0</v>
      </c>
      <c r="CO86" s="1321">
        <f>CM86+CN86</f>
        <v>0</v>
      </c>
      <c r="CP86" s="1322"/>
      <c r="CQ86" s="1322"/>
      <c r="CR86" s="1322"/>
      <c r="CS86" s="1313">
        <f>IF($A86&lt;=$B$1,N86-N86*CP86,N86)</f>
        <v>0</v>
      </c>
      <c r="CT86" s="1321">
        <f>IF($A86&lt;=$B$1,M86-M86*CR86,M86)</f>
        <v>0</v>
      </c>
      <c r="CU86" s="602"/>
    </row>
    <row r="87" spans="1:100" ht="30" hidden="1" customHeight="1" outlineLevel="1" collapsed="1">
      <c r="A87" s="148" t="s">
        <v>86</v>
      </c>
      <c r="B87" s="149">
        <f>COUNTIF(A82:A86,$B$1)</f>
        <v>0</v>
      </c>
      <c r="C87" s="150"/>
      <c r="D87" s="151"/>
      <c r="E87" s="151"/>
      <c r="F87" s="151"/>
      <c r="G87" s="152"/>
      <c r="H87" s="152">
        <f>SUMIF(A82:A86,$B$1,H82:H86)</f>
        <v>0</v>
      </c>
      <c r="I87" s="152">
        <f>SUM(I82:I86)</f>
        <v>0</v>
      </c>
      <c r="J87" s="152"/>
      <c r="K87" s="152"/>
      <c r="L87" s="153">
        <f>SUMIF(A82:A86,$B$1,L82:L86)</f>
        <v>0</v>
      </c>
      <c r="M87" s="153">
        <f>SUMIF(A82:A86,$B$1,M82:M86)</f>
        <v>0</v>
      </c>
      <c r="N87" s="152"/>
      <c r="O87" s="152"/>
      <c r="P87" s="152"/>
      <c r="Q87" s="152"/>
      <c r="R87" s="152"/>
      <c r="S87" s="152">
        <f>SUMIF(A82:A86,$B$1,S82:S86)</f>
        <v>0</v>
      </c>
      <c r="T87" s="152">
        <f>SUMIF(A82:A86,$B$1,T82:T86)</f>
        <v>0</v>
      </c>
      <c r="U87" s="151"/>
      <c r="V87" s="151"/>
      <c r="W87" s="151"/>
      <c r="X87" s="152"/>
      <c r="Y87" s="152"/>
      <c r="Z87" s="151"/>
      <c r="AA87" s="151"/>
      <c r="AB87" s="151"/>
      <c r="AC87" s="154"/>
      <c r="AD87" s="155"/>
      <c r="AE87" s="1718"/>
      <c r="AF87" s="158"/>
      <c r="AG87" s="157"/>
      <c r="AH87" s="730"/>
      <c r="AI87" s="156"/>
      <c r="AJ87" s="156"/>
      <c r="AK87" s="152"/>
      <c r="AL87" s="157"/>
      <c r="AM87" s="297">
        <f>COUNTA(AM82:AM86)</f>
        <v>0</v>
      </c>
      <c r="AN87" s="152">
        <f>SUM(AN82:AN86)</f>
        <v>0</v>
      </c>
      <c r="AO87" s="152">
        <f>SUM(AO82:AO86)</f>
        <v>0</v>
      </c>
      <c r="AP87" s="161"/>
      <c r="AQ87" s="151"/>
      <c r="AR87" s="151"/>
      <c r="AS87" s="151"/>
      <c r="AT87" s="151"/>
      <c r="AU87" s="151"/>
      <c r="AV87" s="151"/>
      <c r="AW87" s="151"/>
      <c r="AX87" s="163">
        <f>SUM(AX82:AX86)</f>
        <v>0</v>
      </c>
      <c r="AY87" s="163">
        <f>SUM(AY82:AY86)</f>
        <v>0</v>
      </c>
      <c r="AZ87" s="163">
        <f>SUM(AZ82:AZ86)</f>
        <v>0</v>
      </c>
      <c r="BA87" s="221" t="str">
        <f>IF(COUNT(BA82:BA86)=0,"-",AVERAGE(BA82:BA86))</f>
        <v>-</v>
      </c>
      <c r="BB87" s="1386"/>
      <c r="BC87" s="341"/>
      <c r="BD87" s="340"/>
      <c r="BE87" s="341"/>
      <c r="BF87" s="341"/>
      <c r="BG87" s="341"/>
      <c r="BH87" s="341"/>
      <c r="BI87" s="341"/>
      <c r="BJ87" s="341"/>
      <c r="BK87" s="341"/>
      <c r="BL87" s="341"/>
      <c r="BM87" s="341"/>
      <c r="BN87" s="176"/>
      <c r="BO87" s="577"/>
      <c r="BP87" s="1480"/>
      <c r="BQ87" s="575"/>
      <c r="BR87" s="573"/>
      <c r="BS87" s="575"/>
      <c r="BT87" s="571"/>
      <c r="BU87" s="573"/>
      <c r="BV87" s="575"/>
      <c r="BW87" s="171"/>
      <c r="BX87" s="683"/>
      <c r="BY87" s="173">
        <f>AM87</f>
        <v>0</v>
      </c>
      <c r="BZ87" s="173">
        <f>COUNTIF(BZ82:BZ86,"=0")</f>
        <v>0</v>
      </c>
      <c r="CA87" s="174">
        <f>SUM(COUNTIF(BZ82:BZ86,"&lt;0"),COUNTIF(BZ82:BZ86,"&gt;0"))</f>
        <v>0</v>
      </c>
      <c r="CB87" s="686"/>
      <c r="CC87" s="172"/>
      <c r="CD87" s="301"/>
      <c r="CE87" s="683"/>
      <c r="CF87" s="731"/>
      <c r="CG87" s="602"/>
      <c r="CH87" s="1312"/>
      <c r="CI87" s="1312"/>
      <c r="CJ87" s="1312"/>
      <c r="CK87" s="1354">
        <f>SUMIF($BP82:$BP86,$B$1,CK82:CK86)</f>
        <v>0</v>
      </c>
      <c r="CL87" s="1355">
        <f>SUMIF($BP82:$BP86,$B$1,CL82:CL86)</f>
        <v>0</v>
      </c>
      <c r="CM87" s="1355">
        <f>SUMIF($A83:$A86,$B$1,CM83:CM86)</f>
        <v>0</v>
      </c>
      <c r="CN87" s="1355">
        <f>SUMIF($A83:$A86,$B$1,CN83:CN86)</f>
        <v>0</v>
      </c>
      <c r="CO87" s="1356">
        <f>SUMIF($A83:$A86,$B$1,CO83:CO86)</f>
        <v>0</v>
      </c>
      <c r="CP87" s="1322"/>
      <c r="CQ87" s="1322"/>
      <c r="CR87" s="1322"/>
      <c r="CS87" s="1354">
        <f>SUMIF($A83:$A86,$B$1,CS83:CS86)</f>
        <v>0</v>
      </c>
      <c r="CT87" s="1354">
        <f>SUMIF($A83:$A86,$B$1,CT83:CT86)</f>
        <v>0</v>
      </c>
      <c r="CU87" s="602"/>
    </row>
    <row r="88" spans="1:100" ht="30" hidden="1" customHeight="1" outlineLevel="1">
      <c r="A88" s="179" t="s">
        <v>87</v>
      </c>
      <c r="B88" s="348">
        <f>COUNT(A82:A86)</f>
        <v>0</v>
      </c>
      <c r="C88" s="181"/>
      <c r="D88" s="182"/>
      <c r="E88" s="182"/>
      <c r="F88" s="182"/>
      <c r="G88" s="184"/>
      <c r="H88" s="184">
        <f>SUMIF(A82:A86,"&gt;0",H82:H86)</f>
        <v>0</v>
      </c>
      <c r="I88" s="184"/>
      <c r="J88" s="184">
        <f>SUM(J82:J86)</f>
        <v>0</v>
      </c>
      <c r="K88" s="184"/>
      <c r="L88" s="184"/>
      <c r="M88" s="184"/>
      <c r="N88" s="184"/>
      <c r="O88" s="184"/>
      <c r="P88" s="184"/>
      <c r="Q88" s="184"/>
      <c r="R88" s="185"/>
      <c r="S88" s="185">
        <f>SUMIF(AG82:AG86,"&gt;0",S82:S86)-SUMIF(AF82:AF86,"&gt;0",S82:S86)</f>
        <v>0</v>
      </c>
      <c r="T88" s="185"/>
      <c r="U88" s="182"/>
      <c r="V88" s="182"/>
      <c r="W88" s="182"/>
      <c r="X88" s="185">
        <f>SUMIF(AM82:AM86,"&gt;0",X82:X86)-SUMIF(AL82:AL86,"&gt;0",X82:X86)</f>
        <v>0</v>
      </c>
      <c r="Y88" s="185"/>
      <c r="Z88" s="182"/>
      <c r="AA88" s="182"/>
      <c r="AB88" s="182"/>
      <c r="AC88" s="186"/>
      <c r="AD88" s="186"/>
      <c r="AE88" s="1719"/>
      <c r="AF88" s="184">
        <f>COUNT(AG82:AG86)</f>
        <v>0</v>
      </c>
      <c r="AG88" s="191">
        <f>SUM(AG82:AG86)</f>
        <v>0</v>
      </c>
      <c r="AH88" s="186"/>
      <c r="AI88" s="186"/>
      <c r="AJ88" s="186"/>
      <c r="AK88" s="184"/>
      <c r="AL88" s="184"/>
      <c r="AM88" s="182"/>
      <c r="AN88" s="182"/>
      <c r="AO88" s="182"/>
      <c r="AP88" s="187"/>
      <c r="AQ88" s="182"/>
      <c r="AR88" s="182"/>
      <c r="AS88" s="182"/>
      <c r="AT88" s="182"/>
      <c r="AU88" s="182"/>
      <c r="AV88" s="182"/>
      <c r="AW88" s="182"/>
      <c r="AX88" s="190"/>
      <c r="AY88" s="190"/>
      <c r="AZ88" s="190"/>
      <c r="BA88" s="304"/>
      <c r="BB88" s="188">
        <f>SUM(BB82:BB86)</f>
        <v>0</v>
      </c>
      <c r="BC88" s="476"/>
      <c r="BD88" s="535"/>
      <c r="BE88" s="476"/>
      <c r="BF88" s="476"/>
      <c r="BG88" s="476"/>
      <c r="BH88" s="476"/>
      <c r="BI88" s="476"/>
      <c r="BJ88" s="476"/>
      <c r="BK88" s="476"/>
      <c r="BL88" s="476"/>
      <c r="BM88" s="476"/>
      <c r="BN88" s="200"/>
      <c r="BO88" s="689"/>
      <c r="BP88" s="1481"/>
      <c r="BQ88" s="194"/>
      <c r="BR88" s="193"/>
      <c r="BS88" s="194"/>
      <c r="BT88" s="192"/>
      <c r="BU88" s="193"/>
      <c r="BV88" s="193"/>
      <c r="BW88" s="360"/>
      <c r="BX88" s="689"/>
      <c r="BY88" s="732">
        <f>SUM(BY82:BY86)</f>
        <v>0</v>
      </c>
      <c r="BZ88" s="732">
        <f>SUMIF(BZ82:BZ86,"=0",CA82:CA86)</f>
        <v>0</v>
      </c>
      <c r="CA88" s="733">
        <f>SUMIF(BZ82:BZ86,"&lt;&gt;0",CA82:CA86)</f>
        <v>0</v>
      </c>
      <c r="CB88" s="477"/>
      <c r="CC88" s="308"/>
      <c r="CD88" s="308"/>
      <c r="CE88" s="201"/>
      <c r="CF88" s="734"/>
      <c r="CG88" s="217"/>
      <c r="CH88" s="1312"/>
      <c r="CI88" s="1312"/>
      <c r="CJ88" s="1312"/>
      <c r="CK88" s="1357"/>
      <c r="CL88" s="1358">
        <f>CL87-$S87</f>
        <v>0</v>
      </c>
      <c r="CM88" s="1357"/>
      <c r="CN88" s="1359"/>
      <c r="CO88" s="1357"/>
      <c r="CP88" s="1322"/>
      <c r="CQ88" s="1322"/>
      <c r="CR88" s="1322"/>
      <c r="CS88" s="1357"/>
      <c r="CT88" s="1358">
        <f>CT87-$M87</f>
        <v>0</v>
      </c>
      <c r="CU88" s="602"/>
    </row>
    <row r="89" spans="1:100" ht="30" hidden="1" customHeight="1" outlineLevel="1">
      <c r="A89" s="693"/>
      <c r="B89" s="203"/>
      <c r="C89" s="203"/>
      <c r="D89" s="203"/>
      <c r="E89" s="203"/>
      <c r="F89" s="694"/>
      <c r="G89" s="203"/>
      <c r="H89" s="203"/>
      <c r="I89" s="203"/>
      <c r="J89" s="203"/>
      <c r="K89" s="203"/>
      <c r="L89" s="203"/>
      <c r="M89" s="203"/>
      <c r="N89" s="203"/>
      <c r="O89" s="203"/>
      <c r="P89" s="203"/>
      <c r="Q89" s="203"/>
      <c r="R89" s="203"/>
      <c r="S89" s="203"/>
      <c r="T89" s="203"/>
      <c r="U89" s="203"/>
      <c r="V89" s="203"/>
      <c r="W89" s="203"/>
      <c r="X89" s="203"/>
      <c r="Y89" s="203"/>
      <c r="Z89" s="203"/>
      <c r="AA89" s="203"/>
      <c r="AB89" s="203"/>
      <c r="AC89" s="696"/>
      <c r="AD89" s="696"/>
      <c r="AE89" s="1733"/>
      <c r="AF89" s="697"/>
      <c r="AG89" s="697"/>
      <c r="AH89" s="698"/>
      <c r="AI89" s="696"/>
      <c r="AJ89" s="696"/>
      <c r="AK89" s="697"/>
      <c r="AL89" s="697"/>
      <c r="AM89" s="203"/>
      <c r="AN89" s="203"/>
      <c r="AO89" s="203"/>
      <c r="AP89" s="203"/>
      <c r="AQ89" s="203"/>
      <c r="AR89" s="203"/>
      <c r="AS89" s="203"/>
      <c r="AT89" s="203"/>
      <c r="AU89" s="203"/>
      <c r="AV89" s="203"/>
      <c r="AW89" s="203"/>
      <c r="AX89" s="203"/>
      <c r="AY89" s="203"/>
      <c r="AZ89" s="203"/>
      <c r="BA89" s="203"/>
      <c r="BB89" s="203"/>
      <c r="BC89" s="699"/>
      <c r="BD89" s="700"/>
      <c r="BE89" s="700"/>
      <c r="BF89" s="700"/>
      <c r="BG89" s="700"/>
      <c r="BH89" s="700"/>
      <c r="BI89" s="700"/>
      <c r="BJ89" s="700"/>
      <c r="BK89" s="700"/>
      <c r="BL89" s="700"/>
      <c r="BM89" s="700"/>
      <c r="BN89"/>
      <c r="BO89"/>
      <c r="BP89" s="1388"/>
      <c r="BQ89" s="99"/>
      <c r="BR89" s="131"/>
      <c r="BS89" s="99"/>
      <c r="BT89" s="130"/>
      <c r="BU89" s="131"/>
      <c r="BV89" s="131"/>
      <c r="BW89" s="52"/>
      <c r="BX89" s="53"/>
      <c r="BY89" s="53"/>
      <c r="BZ89" s="53"/>
      <c r="CA89" s="206"/>
      <c r="CB89" s="53"/>
      <c r="CC89" s="53"/>
      <c r="CD89" s="53"/>
      <c r="CE89" s="53"/>
      <c r="CF89" s="735"/>
      <c r="CG89" s="217"/>
      <c r="CH89" s="1312"/>
      <c r="CI89" s="1312"/>
      <c r="CJ89" s="1312"/>
      <c r="CK89" s="1313"/>
      <c r="CL89" s="1315"/>
      <c r="CM89" s="1361"/>
      <c r="CN89" s="1361"/>
      <c r="CO89" s="1361"/>
      <c r="CP89" s="1322"/>
      <c r="CQ89" s="1322"/>
      <c r="CR89" s="1322"/>
      <c r="CS89" s="1313"/>
      <c r="CT89" s="1315"/>
      <c r="CU89" s="602"/>
    </row>
    <row r="90" spans="1:100" ht="30" hidden="1" customHeight="1" outlineLevel="1" collapsed="1">
      <c r="A90" s="2144" t="s">
        <v>96</v>
      </c>
      <c r="B90" s="2144"/>
      <c r="C90" s="2144"/>
      <c r="D90" s="2144"/>
      <c r="E90" s="2144"/>
      <c r="F90" s="2144"/>
      <c r="G90" s="44"/>
      <c r="H90" s="44"/>
      <c r="I90" s="44"/>
      <c r="J90" s="44"/>
      <c r="K90" s="1682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1703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5"/>
      <c r="BD90" s="46"/>
      <c r="BE90" s="46"/>
      <c r="BF90" s="46"/>
      <c r="BG90" s="46"/>
      <c r="BH90" s="46"/>
      <c r="BI90" s="46"/>
      <c r="BJ90" s="46"/>
      <c r="BK90" s="46"/>
      <c r="BL90" s="46"/>
      <c r="BM90" s="46"/>
      <c r="BN90" s="365"/>
      <c r="BO90" s="365"/>
      <c r="BP90" s="1390"/>
      <c r="BQ90" s="100"/>
      <c r="BR90" s="97"/>
      <c r="BS90" s="100"/>
      <c r="BT90" s="96"/>
      <c r="BU90" s="97"/>
      <c r="BV90" s="100"/>
      <c r="BW90" s="52"/>
      <c r="BX90" s="53"/>
      <c r="BY90" s="53"/>
      <c r="BZ90" s="53"/>
      <c r="CA90" s="206"/>
      <c r="CB90" s="369"/>
      <c r="CC90" s="365"/>
      <c r="CD90" s="365"/>
      <c r="CE90" s="244"/>
      <c r="CF90" s="369"/>
      <c r="CG90" s="217"/>
      <c r="CH90" s="1312"/>
      <c r="CI90" s="1312"/>
      <c r="CJ90" s="1312"/>
      <c r="CK90" s="1313"/>
      <c r="CL90" s="1315"/>
      <c r="CM90" s="1361"/>
      <c r="CN90" s="1361"/>
      <c r="CO90" s="1361"/>
      <c r="CP90" s="1322"/>
      <c r="CQ90" s="1322"/>
      <c r="CR90" s="1322"/>
      <c r="CS90" s="1313"/>
      <c r="CT90" s="1315"/>
      <c r="CU90" s="602"/>
    </row>
    <row r="91" spans="1:100" ht="30" hidden="1" customHeight="1" outlineLevel="1">
      <c r="A91" s="310"/>
      <c r="B91" s="247"/>
      <c r="C91" s="247"/>
      <c r="D91" s="248"/>
      <c r="E91" s="248"/>
      <c r="F91" s="247"/>
      <c r="G91" s="65">
        <f>M91-S91</f>
        <v>0</v>
      </c>
      <c r="H91" s="80">
        <f>M91-S91</f>
        <v>0</v>
      </c>
      <c r="I91" s="65">
        <f>IF($B$2&gt;=A91,($B$2-A91+1)*H91,"-")</f>
        <v>0</v>
      </c>
      <c r="J91" s="65">
        <f>($A$2-A91+1)*H91</f>
        <v>0</v>
      </c>
      <c r="K91" s="629"/>
      <c r="L91" s="252">
        <f ca="1">IF((AC91)&lt;$L$2-DAY($L$2)+1,H91,H91+S91)</f>
        <v>0</v>
      </c>
      <c r="M91" s="252"/>
      <c r="N91" s="252"/>
      <c r="O91" s="69"/>
      <c r="P91" s="71"/>
      <c r="Q91" s="71"/>
      <c r="R91" s="273"/>
      <c r="S91" s="63"/>
      <c r="T91" s="71"/>
      <c r="U91" s="71"/>
      <c r="V91" s="71"/>
      <c r="W91" s="71"/>
      <c r="X91" s="63"/>
      <c r="Y91" s="71"/>
      <c r="Z91" s="71"/>
      <c r="AA91" s="71"/>
      <c r="AB91" s="702" t="s">
        <v>99</v>
      </c>
      <c r="AC91" s="135"/>
      <c r="AD91" s="135"/>
      <c r="AE91" s="1723"/>
      <c r="AF91" s="78"/>
      <c r="AG91" s="75"/>
      <c r="AH91" s="319"/>
      <c r="AI91" s="77"/>
      <c r="AJ91" s="77"/>
      <c r="AK91" s="74"/>
      <c r="AL91" s="75"/>
      <c r="AM91" s="78"/>
      <c r="AN91" s="289"/>
      <c r="AO91" s="256"/>
      <c r="AP91" s="289"/>
      <c r="AQ91" s="66"/>
      <c r="AR91" s="247"/>
      <c r="AS91" s="247"/>
      <c r="AT91" s="247"/>
      <c r="AU91" s="247"/>
      <c r="AV91" s="387"/>
      <c r="AW91" s="564"/>
      <c r="AX91" s="84"/>
      <c r="AY91" s="64"/>
      <c r="AZ91" s="64"/>
      <c r="BA91" s="64"/>
      <c r="BB91" s="516"/>
      <c r="BC91" s="1491"/>
      <c r="BD91" s="737"/>
      <c r="BE91" s="90"/>
      <c r="BF91" s="738"/>
      <c r="BG91" s="738"/>
      <c r="BH91" s="738"/>
      <c r="BI91" s="738"/>
      <c r="BJ91" s="738"/>
      <c r="BK91" s="738"/>
      <c r="BL91" s="738"/>
      <c r="BM91" s="738"/>
      <c r="BN91" s="560"/>
      <c r="BO91" s="1479"/>
      <c r="BP91" s="1388">
        <f>AC91</f>
        <v>0</v>
      </c>
      <c r="BQ91" s="99"/>
      <c r="BR91" s="132"/>
      <c r="BS91" s="99"/>
      <c r="BT91" s="130">
        <f>S91</f>
        <v>0</v>
      </c>
      <c r="BU91" s="131">
        <f>AG91</f>
        <v>0</v>
      </c>
      <c r="BV91" s="131"/>
      <c r="BW91" s="101"/>
      <c r="BX91" s="102"/>
      <c r="BY91" s="103"/>
      <c r="BZ91" s="104"/>
      <c r="CA91" s="105"/>
      <c r="CB91" s="627"/>
      <c r="CC91" s="107"/>
      <c r="CD91" s="108"/>
      <c r="CE91" s="109"/>
      <c r="CF91" s="721" t="s">
        <v>105</v>
      </c>
      <c r="CG91" s="657"/>
      <c r="CH91" s="1312">
        <v>1.0999999999999999E-2</v>
      </c>
      <c r="CI91" s="1312">
        <v>8.3000000000000001E-3</v>
      </c>
      <c r="CJ91" s="1312">
        <v>1.9300000000000001E-2</v>
      </c>
      <c r="CK91" s="1313">
        <f>IF($BP91&lt;=$B$1,T91-T91*CH91,T91)</f>
        <v>0</v>
      </c>
      <c r="CL91" s="1321">
        <f>IF($BP91&lt;=$B$1,S91-S91*CJ91,S91)</f>
        <v>0</v>
      </c>
      <c r="CM91" s="1321">
        <f>IF(CK91=0,M91-S91,($N91-$CK91)*$M91/$N91)</f>
        <v>0</v>
      </c>
      <c r="CN91" s="1321">
        <f>IF(CK91=0,0,-($CL91-$CK91*$M91/$N91))</f>
        <v>0</v>
      </c>
      <c r="CO91" s="1321">
        <f>CM91+CN91</f>
        <v>0</v>
      </c>
      <c r="CP91" s="1322">
        <v>1.17E-2</v>
      </c>
      <c r="CQ91" s="1322">
        <v>7.4000000000000003E-3</v>
      </c>
      <c r="CR91" s="1322">
        <v>1.9099999999999999E-2</v>
      </c>
      <c r="CS91" s="1313">
        <f>IF($A91&lt;=$B$1,N91-N91*CP91,N91)</f>
        <v>0</v>
      </c>
      <c r="CT91" s="1321">
        <f>IF($A91&lt;=$B$1,M91-M91*CR91,M91)</f>
        <v>0</v>
      </c>
      <c r="CU91" s="602"/>
    </row>
    <row r="92" spans="1:100" ht="30" hidden="1" customHeight="1" outlineLevel="1">
      <c r="A92" s="1492"/>
      <c r="B92" s="270"/>
      <c r="C92" s="270"/>
      <c r="D92" s="62"/>
      <c r="E92" s="62"/>
      <c r="F92" s="270"/>
      <c r="G92" s="80"/>
      <c r="H92" s="80"/>
      <c r="I92" s="65"/>
      <c r="J92" s="65"/>
      <c r="K92" s="739"/>
      <c r="L92" s="80"/>
      <c r="M92" s="252"/>
      <c r="N92" s="252"/>
      <c r="O92" s="71"/>
      <c r="P92" s="71"/>
      <c r="Q92" s="71"/>
      <c r="R92" s="273"/>
      <c r="S92" s="85"/>
      <c r="T92" s="71"/>
      <c r="U92" s="71"/>
      <c r="V92" s="71"/>
      <c r="W92" s="71"/>
      <c r="X92" s="85"/>
      <c r="Y92" s="71"/>
      <c r="Z92" s="71"/>
      <c r="AA92" s="71"/>
      <c r="AB92" s="274"/>
      <c r="AC92" s="740"/>
      <c r="AD92" s="741"/>
      <c r="AE92" s="1734"/>
      <c r="AF92" s="78"/>
      <c r="AG92" s="75"/>
      <c r="AH92" s="319"/>
      <c r="AI92" s="77"/>
      <c r="AJ92" s="77"/>
      <c r="AK92" s="74"/>
      <c r="AL92" s="75"/>
      <c r="AM92" s="78"/>
      <c r="AN92" s="289"/>
      <c r="AO92" s="256"/>
      <c r="AP92" s="289"/>
      <c r="AQ92" s="66"/>
      <c r="AR92" s="247"/>
      <c r="AS92" s="247"/>
      <c r="AT92" s="247"/>
      <c r="AU92" s="247"/>
      <c r="AV92" s="387"/>
      <c r="AW92" s="564"/>
      <c r="AX92" s="84"/>
      <c r="AY92" s="64"/>
      <c r="AZ92" s="64"/>
      <c r="BA92" s="64"/>
      <c r="BB92" s="516"/>
      <c r="BC92" s="1487"/>
      <c r="BD92" s="291"/>
      <c r="BE92" s="729"/>
      <c r="BF92" s="293"/>
      <c r="BG92" s="293"/>
      <c r="BH92" s="293"/>
      <c r="BI92" s="293"/>
      <c r="BJ92" s="293"/>
      <c r="BK92" s="293"/>
      <c r="BL92" s="293"/>
      <c r="BM92" s="293"/>
      <c r="BN92" s="742"/>
      <c r="BO92" s="1493"/>
      <c r="BP92" s="1388">
        <f>AC92</f>
        <v>0</v>
      </c>
      <c r="BQ92" s="99"/>
      <c r="BR92" s="131"/>
      <c r="BS92" s="99"/>
      <c r="BT92" s="130">
        <f>S92</f>
        <v>0</v>
      </c>
      <c r="BU92" s="131">
        <f>AG92</f>
        <v>0</v>
      </c>
      <c r="BV92" s="131"/>
      <c r="BW92" s="101"/>
      <c r="BX92" s="102"/>
      <c r="BY92" s="103"/>
      <c r="BZ92" s="104"/>
      <c r="CA92" s="105"/>
      <c r="CB92" s="627"/>
      <c r="CC92" s="107"/>
      <c r="CD92" s="108"/>
      <c r="CE92" s="109"/>
      <c r="CF92" s="217"/>
      <c r="CG92" s="657"/>
      <c r="CH92" s="1312"/>
      <c r="CI92" s="1312"/>
      <c r="CJ92" s="1312"/>
      <c r="CK92" s="1313">
        <f>IF($BP92&lt;=$B$1,T92-T92*CH92,T92)</f>
        <v>0</v>
      </c>
      <c r="CL92" s="1321">
        <f>IF($BP92&lt;=$B$1,S92-S92*CJ92,S92)</f>
        <v>0</v>
      </c>
      <c r="CM92" s="1321">
        <f>IF(CK92=0,M92-S92,($N92-$CK92)*$M92/$N92)</f>
        <v>0</v>
      </c>
      <c r="CN92" s="1321">
        <f>IF(CK92=0,0,-($CL92-$CK92*$M92/$N92))</f>
        <v>0</v>
      </c>
      <c r="CO92" s="1321">
        <f>CM92+CN92</f>
        <v>0</v>
      </c>
      <c r="CP92" s="1322"/>
      <c r="CQ92" s="1322"/>
      <c r="CR92" s="1322"/>
      <c r="CS92" s="1313">
        <f>IF($A92&lt;=$B$1,N92-N92*CP92,N92)</f>
        <v>0</v>
      </c>
      <c r="CT92" s="1321">
        <f>IF($A92&lt;=$B$1,M92-M92*CR92,M92)</f>
        <v>0</v>
      </c>
      <c r="CU92" s="602"/>
    </row>
    <row r="93" spans="1:100" ht="30" hidden="1" customHeight="1" outlineLevel="1" collapsed="1">
      <c r="A93" s="148" t="s">
        <v>86</v>
      </c>
      <c r="B93" s="149">
        <f>COUNTIF(A91:A92,$B$1)</f>
        <v>0</v>
      </c>
      <c r="C93" s="150"/>
      <c r="D93" s="151"/>
      <c r="E93" s="151"/>
      <c r="F93" s="151"/>
      <c r="G93" s="152"/>
      <c r="H93" s="152">
        <f>SUMIF(A91:A92,$B$1,H91:H92)</f>
        <v>0</v>
      </c>
      <c r="I93" s="152">
        <f>SUM(I91:I92)</f>
        <v>0</v>
      </c>
      <c r="J93" s="152"/>
      <c r="K93" s="152"/>
      <c r="L93" s="153">
        <f>SUMIF(A91:A92,$B$1,L91:L92)</f>
        <v>0</v>
      </c>
      <c r="M93" s="153">
        <f>SUMIF(A91:A92,$B$1,M91:M92)</f>
        <v>0</v>
      </c>
      <c r="N93" s="152"/>
      <c r="O93" s="152"/>
      <c r="P93" s="152"/>
      <c r="Q93" s="152"/>
      <c r="R93" s="152"/>
      <c r="S93" s="152">
        <f>SUMIF(A91:A92,$B$1,S91:S92)</f>
        <v>0</v>
      </c>
      <c r="T93" s="152">
        <f>SUMIF(A91:A92,$B$1,T91:T92)</f>
        <v>0</v>
      </c>
      <c r="U93" s="151"/>
      <c r="V93" s="151"/>
      <c r="W93" s="151"/>
      <c r="X93" s="152"/>
      <c r="Y93" s="152"/>
      <c r="Z93" s="151"/>
      <c r="AA93" s="151"/>
      <c r="AB93" s="151"/>
      <c r="AC93" s="154"/>
      <c r="AD93" s="155"/>
      <c r="AE93" s="1718"/>
      <c r="AF93" s="158"/>
      <c r="AG93" s="157"/>
      <c r="AH93" s="730"/>
      <c r="AI93" s="156"/>
      <c r="AJ93" s="156"/>
      <c r="AK93" s="152"/>
      <c r="AL93" s="157"/>
      <c r="AM93" s="297">
        <f>COUNTA(AM91:AM92)</f>
        <v>0</v>
      </c>
      <c r="AN93" s="152">
        <f>SUM(AN91:AN92)</f>
        <v>0</v>
      </c>
      <c r="AO93" s="152">
        <f>SUM(AO91:AO92)</f>
        <v>0</v>
      </c>
      <c r="AP93" s="161"/>
      <c r="AQ93" s="151"/>
      <c r="AR93" s="151"/>
      <c r="AS93" s="151"/>
      <c r="AT93" s="151"/>
      <c r="AU93" s="151"/>
      <c r="AV93" s="151"/>
      <c r="AW93" s="151"/>
      <c r="AX93" s="163">
        <f>SUM(AX91:AX92)</f>
        <v>0</v>
      </c>
      <c r="AY93" s="163">
        <f>SUM(AY91:AY92)</f>
        <v>0</v>
      </c>
      <c r="AZ93" s="163">
        <f>SUM(AZ91:AZ92)</f>
        <v>0</v>
      </c>
      <c r="BA93" s="221" t="str">
        <f>IF(COUNT(BA91:BA92)=0,"-",AVERAGE(BA91:BA92))</f>
        <v>-</v>
      </c>
      <c r="BB93" s="1386"/>
      <c r="BC93" s="341"/>
      <c r="BD93" s="340"/>
      <c r="BE93" s="341"/>
      <c r="BF93" s="341"/>
      <c r="BG93" s="341"/>
      <c r="BH93" s="341"/>
      <c r="BI93" s="341"/>
      <c r="BJ93" s="341"/>
      <c r="BK93" s="341"/>
      <c r="BL93" s="341"/>
      <c r="BM93" s="341"/>
      <c r="BN93" s="163">
        <f>SUM(BN82:BN92)</f>
        <v>0</v>
      </c>
      <c r="BO93" s="149">
        <f>SUM(BO82:BO92)</f>
        <v>0</v>
      </c>
      <c r="BP93" s="1489">
        <f>COUNTA(BP82:BP92)</f>
        <v>6</v>
      </c>
      <c r="BQ93" s="1899">
        <f>SUM(BQ82:BQ92)</f>
        <v>0</v>
      </c>
      <c r="BR93" s="1891">
        <f>SUM(BR82:BR92)</f>
        <v>0</v>
      </c>
      <c r="BS93" s="712"/>
      <c r="BT93" s="571">
        <f>COUNTA(BT82:BT92)</f>
        <v>6</v>
      </c>
      <c r="BU93" s="573">
        <f>SUM(BU82:BU92)</f>
        <v>0</v>
      </c>
      <c r="BV93" s="575">
        <f>SUM(BV82:BV92)</f>
        <v>0</v>
      </c>
      <c r="BW93" s="171"/>
      <c r="BX93" s="548"/>
      <c r="BY93" s="173">
        <f>AM93</f>
        <v>0</v>
      </c>
      <c r="BZ93" s="173">
        <f>COUNTIF(BZ91:BZ92,"=0")</f>
        <v>0</v>
      </c>
      <c r="CA93" s="174">
        <f>SUM(COUNTIF(BZ91:BZ92,"&lt;0"),COUNTIF(BZ91:BZ92,"&gt;0"))</f>
        <v>0</v>
      </c>
      <c r="CB93" s="225">
        <f>COUNTIF(CB82:CB86,"1")</f>
        <v>0</v>
      </c>
      <c r="CC93" s="226">
        <f>SUM(CC82:CC86)</f>
        <v>0</v>
      </c>
      <c r="CD93" s="227">
        <f>COUNTIF(CD82:CD92,"1")</f>
        <v>0</v>
      </c>
      <c r="CE93" s="228">
        <f>SUM(CE82:CE92)</f>
        <v>0</v>
      </c>
      <c r="CF93" s="731"/>
      <c r="CG93" s="602"/>
      <c r="CH93" s="1312"/>
      <c r="CI93" s="1312"/>
      <c r="CJ93" s="1312"/>
      <c r="CK93" s="1354">
        <f>SUMIF($BP91:$BP92,$B$1,CK91:CK92)</f>
        <v>0</v>
      </c>
      <c r="CL93" s="1355">
        <f>SUMIF($BP91:$BP92,$B$1,CL91:CL92)</f>
        <v>0</v>
      </c>
      <c r="CM93" s="1355">
        <f>SUMIF($A91:$A92,$B$1,CM91:CM92)</f>
        <v>0</v>
      </c>
      <c r="CN93" s="1355">
        <f>SUMIF($A91:$A92,$B$1,CN91:CN92)</f>
        <v>0</v>
      </c>
      <c r="CO93" s="1356">
        <f>SUMIF($A91:$A92,$B$1,CO91:CO92)</f>
        <v>0</v>
      </c>
      <c r="CP93" s="1322"/>
      <c r="CQ93" s="1322"/>
      <c r="CR93" s="1322"/>
      <c r="CS93" s="1354">
        <f>SUMIF($A91:$A92,$B$1,CS91:CS92)</f>
        <v>0</v>
      </c>
      <c r="CT93" s="1354">
        <f>SUMIF($A91:$A92,$B$1,CT91:CT92)</f>
        <v>0</v>
      </c>
      <c r="CU93" s="602"/>
    </row>
    <row r="94" spans="1:100" ht="30" hidden="1" customHeight="1" outlineLevel="1">
      <c r="A94" s="179" t="s">
        <v>87</v>
      </c>
      <c r="B94" s="180">
        <f>COUNT(A91:A92)</f>
        <v>0</v>
      </c>
      <c r="C94" s="181"/>
      <c r="D94" s="182"/>
      <c r="E94" s="182"/>
      <c r="F94" s="182"/>
      <c r="G94" s="184"/>
      <c r="H94" s="184">
        <f>SUMIF(A91:A92,"&gt;0",H91:H92)</f>
        <v>0</v>
      </c>
      <c r="I94" s="184"/>
      <c r="J94" s="184">
        <f>SUM(J91:J92)</f>
        <v>0</v>
      </c>
      <c r="K94" s="184"/>
      <c r="L94" s="184"/>
      <c r="M94" s="184"/>
      <c r="N94" s="184"/>
      <c r="O94" s="184"/>
      <c r="P94" s="184"/>
      <c r="Q94" s="184"/>
      <c r="R94" s="185"/>
      <c r="S94" s="184">
        <f>SUM(S91:S92)</f>
        <v>0</v>
      </c>
      <c r="T94" s="185"/>
      <c r="U94" s="182"/>
      <c r="V94" s="182"/>
      <c r="W94" s="182"/>
      <c r="X94" s="187">
        <f>SUM(X82:X86)</f>
        <v>0</v>
      </c>
      <c r="Y94" s="185"/>
      <c r="Z94" s="182"/>
      <c r="AA94" s="182"/>
      <c r="AB94" s="182"/>
      <c r="AC94" s="186"/>
      <c r="AD94" s="186"/>
      <c r="AE94" s="1719"/>
      <c r="AF94" s="184">
        <f>COUNT(AG91:AG92)</f>
        <v>0</v>
      </c>
      <c r="AG94" s="191">
        <f>SUM(AG91:AG92)</f>
        <v>0</v>
      </c>
      <c r="AH94" s="186"/>
      <c r="AI94" s="186"/>
      <c r="AJ94" s="186"/>
      <c r="AK94" s="184"/>
      <c r="AL94" s="184"/>
      <c r="AM94" s="182">
        <f>SUM(AM93,AM87)</f>
        <v>0</v>
      </c>
      <c r="AN94" s="182"/>
      <c r="AO94" s="182"/>
      <c r="AP94" s="187"/>
      <c r="AQ94" s="182"/>
      <c r="AR94" s="182"/>
      <c r="AS94" s="182"/>
      <c r="AT94" s="182"/>
      <c r="AU94" s="182"/>
      <c r="AV94" s="182"/>
      <c r="AW94" s="182"/>
      <c r="AX94" s="188">
        <f>SUM(AX93,AX87)</f>
        <v>0</v>
      </c>
      <c r="AY94" s="188">
        <f>SUM(AY93,AY87)</f>
        <v>0</v>
      </c>
      <c r="AZ94" s="188">
        <f>SUM(AZ93,AZ87)</f>
        <v>0</v>
      </c>
      <c r="BA94" s="229" t="str">
        <f>IF(COUNT(BA91:BA92,BA82:BA86)=0,"-",AVERAGE(BA91:BA92,BA82:BA86))</f>
        <v>-</v>
      </c>
      <c r="BB94" s="188">
        <f>+BB88</f>
        <v>0</v>
      </c>
      <c r="BC94" s="476"/>
      <c r="BD94" s="535"/>
      <c r="BE94" s="476"/>
      <c r="BF94" s="476"/>
      <c r="BG94" s="476"/>
      <c r="BH94" s="476"/>
      <c r="BI94" s="476"/>
      <c r="BJ94" s="476"/>
      <c r="BK94" s="476"/>
      <c r="BL94" s="476"/>
      <c r="BM94" s="476"/>
      <c r="BN94" s="743"/>
      <c r="BO94" s="689"/>
      <c r="BP94" s="1411"/>
      <c r="BQ94" s="1900"/>
      <c r="BR94" s="354"/>
      <c r="BS94" s="356">
        <f>SUMIF(BS82:BS92,"",BR82:BR92)</f>
        <v>0</v>
      </c>
      <c r="BT94" s="471"/>
      <c r="BU94" s="472"/>
      <c r="BV94" s="473"/>
      <c r="BW94" s="195"/>
      <c r="BX94" s="196"/>
      <c r="BY94" s="197">
        <f>SUM(BY91:BY92)</f>
        <v>0</v>
      </c>
      <c r="BZ94" s="197">
        <f>SUMIF(BZ91:BZ92,"=0",CA91:CA92)</f>
        <v>0</v>
      </c>
      <c r="CA94" s="198">
        <f>SUMIF(BZ91:BZ92,"&lt;&gt;0",CA91:CA92)</f>
        <v>0</v>
      </c>
      <c r="CB94" s="197"/>
      <c r="CC94" s="197"/>
      <c r="CD94" s="197"/>
      <c r="CE94" s="197"/>
      <c r="CF94" s="744"/>
      <c r="CG94" s="659"/>
      <c r="CH94" s="1312"/>
      <c r="CI94" s="1312"/>
      <c r="CJ94" s="1312"/>
      <c r="CK94" s="1357"/>
      <c r="CL94" s="1358">
        <f>CL93-$S93</f>
        <v>0</v>
      </c>
      <c r="CM94" s="1357"/>
      <c r="CN94" s="1359"/>
      <c r="CO94" s="1357"/>
      <c r="CP94" s="1322"/>
      <c r="CQ94" s="1322"/>
      <c r="CR94" s="1322"/>
      <c r="CS94" s="1357"/>
      <c r="CT94" s="1358">
        <f>CT93-$M93</f>
        <v>0</v>
      </c>
      <c r="CU94" s="602"/>
    </row>
    <row r="95" spans="1:100" ht="30" customHeight="1" collapsed="1">
      <c r="A95" s="2144" t="s">
        <v>293</v>
      </c>
      <c r="B95" s="2144"/>
      <c r="C95" s="2144"/>
      <c r="D95" s="2144"/>
      <c r="E95" s="2144"/>
      <c r="F95" s="21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1703"/>
      <c r="AF95" s="44"/>
      <c r="AG95" s="45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5"/>
      <c r="BD95" s="46"/>
      <c r="BE95" s="46"/>
      <c r="BF95" s="46"/>
      <c r="BG95" s="46"/>
      <c r="BH95" s="46"/>
      <c r="BI95" s="46"/>
      <c r="BJ95" s="46"/>
      <c r="BK95" s="46"/>
      <c r="BL95" s="46"/>
      <c r="BM95" s="46"/>
      <c r="BN95" s="46"/>
      <c r="BO95" s="1423"/>
      <c r="BP95" s="1497"/>
      <c r="BQ95" s="608"/>
      <c r="BR95" s="610"/>
      <c r="BS95" s="610"/>
      <c r="BT95" s="610"/>
      <c r="BU95" s="610"/>
      <c r="BV95" s="610"/>
      <c r="BW95" s="52"/>
      <c r="BX95" s="53"/>
      <c r="BY95" s="53"/>
      <c r="BZ95" s="53"/>
      <c r="CA95" s="206"/>
      <c r="CB95" s="365"/>
      <c r="CC95" s="365"/>
      <c r="CD95" s="365"/>
      <c r="CE95" s="365"/>
      <c r="CF95" s="369"/>
      <c r="CH95" s="1312"/>
      <c r="CI95" s="1312"/>
      <c r="CJ95" s="1312"/>
      <c r="CK95" s="1313"/>
      <c r="CL95" s="1315"/>
      <c r="CM95" s="1315"/>
      <c r="CN95" s="1315"/>
      <c r="CO95" s="1315"/>
      <c r="CP95" s="1322"/>
      <c r="CQ95" s="1322"/>
      <c r="CR95" s="1322"/>
      <c r="CS95" s="1313"/>
      <c r="CT95" s="1315"/>
      <c r="CU95" s="602"/>
    </row>
    <row r="96" spans="1:100" ht="33.75" customHeight="1">
      <c r="A96" s="310">
        <f>DAY(AE96)</f>
        <v>6</v>
      </c>
      <c r="B96" s="247">
        <v>700</v>
      </c>
      <c r="C96" s="247">
        <v>7</v>
      </c>
      <c r="D96" s="62" t="s">
        <v>304</v>
      </c>
      <c r="E96" s="62"/>
      <c r="F96" s="247"/>
      <c r="G96" s="80">
        <f>M96-S96</f>
        <v>14</v>
      </c>
      <c r="H96" s="80">
        <f>M96-S96</f>
        <v>14</v>
      </c>
      <c r="I96" s="80">
        <f>IF($B$2&gt;=A96,($B$2-A96+1)*G96,"-")</f>
        <v>322</v>
      </c>
      <c r="J96" s="65">
        <f>($A$2-A96+1)*G96</f>
        <v>322</v>
      </c>
      <c r="K96" s="629" t="s">
        <v>271</v>
      </c>
      <c r="L96" s="252">
        <f ca="1">IF((AC96)&lt;$L$2-DAY($L$2)+1,H96,H96+S96)</f>
        <v>14</v>
      </c>
      <c r="M96" s="68">
        <v>42</v>
      </c>
      <c r="N96" s="68">
        <v>220</v>
      </c>
      <c r="O96" s="372">
        <v>78.2</v>
      </c>
      <c r="P96" s="70">
        <v>1640</v>
      </c>
      <c r="Q96" s="70">
        <v>2318</v>
      </c>
      <c r="R96" s="629" t="s">
        <v>271</v>
      </c>
      <c r="S96" s="64">
        <v>28</v>
      </c>
      <c r="T96" s="70">
        <v>204</v>
      </c>
      <c r="U96" s="1846">
        <v>84.2</v>
      </c>
      <c r="V96" s="70">
        <v>1677</v>
      </c>
      <c r="W96" s="70">
        <v>2318</v>
      </c>
      <c r="X96" s="64"/>
      <c r="Y96" s="70"/>
      <c r="Z96" s="70"/>
      <c r="AA96" s="70"/>
      <c r="AB96" s="274" t="s">
        <v>126</v>
      </c>
      <c r="AC96" s="319">
        <v>42029</v>
      </c>
      <c r="AD96" s="288">
        <f>AC96+7</f>
        <v>42036</v>
      </c>
      <c r="AE96" s="1723">
        <f t="shared" ref="AE96:AE99" si="28">AD96+5</f>
        <v>42041</v>
      </c>
      <c r="AF96" s="78">
        <f>IF(AC96&lt;$D$1,0,AE96-AC96)</f>
        <v>0</v>
      </c>
      <c r="AG96" s="75">
        <f>IF(S96="","",AF96*S96)</f>
        <v>0</v>
      </c>
      <c r="AH96" s="319"/>
      <c r="AI96" s="288"/>
      <c r="AJ96" s="77"/>
      <c r="AK96" s="74"/>
      <c r="AL96" s="75"/>
      <c r="AM96" s="78"/>
      <c r="AN96" s="74"/>
      <c r="AO96" s="63"/>
      <c r="AP96" s="74"/>
      <c r="AQ96" s="112"/>
      <c r="AR96" s="68"/>
      <c r="AS96" s="68"/>
      <c r="AT96" s="68"/>
      <c r="AU96" s="68"/>
      <c r="AV96" s="258"/>
      <c r="AW96" s="843"/>
      <c r="AX96" s="84" t="str">
        <f>IF(AN96&lt;1,"-",AN96)</f>
        <v>-</v>
      </c>
      <c r="AY96" s="64" t="str">
        <f>IF(AX96="-","-",($B$2-AM96+1)*AX96)</f>
        <v>-</v>
      </c>
      <c r="AZ96" s="63" t="str">
        <f>IF(AX96="-","-",AX96-H96)</f>
        <v>-</v>
      </c>
      <c r="BA96" s="312" t="str">
        <f>IF(AX96="-","-",AX96/H96)</f>
        <v>-</v>
      </c>
      <c r="BB96" s="1317"/>
      <c r="BC96" s="1484"/>
      <c r="BD96" s="703"/>
      <c r="BE96" s="841"/>
      <c r="BF96" s="93"/>
      <c r="BG96" s="91"/>
      <c r="BH96" s="93"/>
      <c r="BI96" s="748"/>
      <c r="BJ96" s="748"/>
      <c r="BK96" s="748"/>
      <c r="BL96" s="91"/>
      <c r="BM96" s="91"/>
      <c r="BN96" s="94"/>
      <c r="BO96" s="1319"/>
      <c r="BP96" s="1910">
        <f>IF(AC96&lt;=$D$1,S96,0)</f>
        <v>28</v>
      </c>
      <c r="BQ96" s="1855">
        <f>BP96*($A$2-A96+1)</f>
        <v>644</v>
      </c>
      <c r="BR96" s="132"/>
      <c r="BS96" s="99"/>
      <c r="BT96" s="284">
        <f t="shared" ref="BT96:BT101" si="29">S96</f>
        <v>28</v>
      </c>
      <c r="BU96" s="214">
        <f t="shared" ref="BU96:BU101" si="30">AG96</f>
        <v>0</v>
      </c>
      <c r="BV96" s="214">
        <f t="shared" ref="BV96:BV101" si="31">IF(AE96&gt;$CC$7,S96,IF(AE96="перех",(S96),"-"))</f>
        <v>28</v>
      </c>
      <c r="BW96" s="101"/>
      <c r="BX96" s="102"/>
      <c r="BY96" s="103" t="e">
        <f t="shared" ref="BY96:BY98" si="32">($D$1-AJ96)*AX96</f>
        <v>#VALUE!</v>
      </c>
      <c r="BZ96" s="104">
        <f t="shared" ref="BZ96:BZ98" si="33">IF(AM96&gt;0,"-",(AE96-BX96))</f>
        <v>42041</v>
      </c>
      <c r="CA96" s="105">
        <f t="shared" ref="CA96:CA98" si="34">IF(AM96&gt;0,"-",(($D$1-BX96)*H96))</f>
        <v>588504</v>
      </c>
      <c r="CB96" s="718"/>
      <c r="CC96" s="719"/>
      <c r="CD96" s="719"/>
      <c r="CE96" s="720"/>
      <c r="CF96" s="721" t="s">
        <v>125</v>
      </c>
      <c r="CH96" s="1322">
        <v>2.4573066024769216E-2</v>
      </c>
      <c r="CI96" s="1322">
        <v>1.6098431593487583E-3</v>
      </c>
      <c r="CJ96" s="1322">
        <v>2.6182909184117975E-2</v>
      </c>
      <c r="CK96" s="1313">
        <f>IF($BP96&lt;=$B$1,T96-T96*CH96,T96)</f>
        <v>198.98709453094708</v>
      </c>
      <c r="CL96" s="1321">
        <f t="shared" ref="CL96:CL98" si="35">IF($BP96&lt;=$B$1,S96-S96*CJ96,S96)</f>
        <v>27.266878542844697</v>
      </c>
      <c r="CM96" s="1321">
        <f t="shared" ref="CM96:CM101" si="36">IF(CK96=0,M96-S96,($N96-$CK96)*$M96/$N96)</f>
        <v>4.0115546804555589</v>
      </c>
      <c r="CN96" s="1321">
        <f t="shared" ref="CN96:CN97" si="37">IF(CK96=0,0,-($CL96-$CK96*$M96/$N96))</f>
        <v>10.721566776699749</v>
      </c>
      <c r="CO96" s="1321">
        <f t="shared" ref="CO96:CO97" si="38">CM96+CN96</f>
        <v>14.733121457155308</v>
      </c>
      <c r="CP96" s="1322">
        <v>1.2788029781702123E-2</v>
      </c>
      <c r="CQ96" s="1322">
        <v>7.6035270394966201E-3</v>
      </c>
      <c r="CR96" s="1322">
        <v>2.0391556821198743E-2</v>
      </c>
      <c r="CS96" s="1313">
        <f t="shared" ref="CS96:CS98" si="39">IF($A96&lt;=$B$1,N96-N96*CP96,N96)</f>
        <v>217.18663344802553</v>
      </c>
      <c r="CT96" s="1321">
        <f t="shared" ref="CT96:CT97" si="40">IF($A96&lt;=$B$1,M96-M96*CR96,M96)</f>
        <v>41.14355461350965</v>
      </c>
      <c r="CU96" s="602"/>
      <c r="CV96" s="111"/>
    </row>
    <row r="97" spans="1:99" ht="33.75" customHeight="1">
      <c r="A97" s="310">
        <f>DAY(AE97)</f>
        <v>9</v>
      </c>
      <c r="B97" s="247">
        <v>800</v>
      </c>
      <c r="C97" s="247">
        <v>8</v>
      </c>
      <c r="D97" s="62" t="s">
        <v>304</v>
      </c>
      <c r="E97" s="62"/>
      <c r="F97" s="247"/>
      <c r="G97" s="80">
        <f>M97-S97</f>
        <v>15</v>
      </c>
      <c r="H97" s="80">
        <f>M97-S97</f>
        <v>15</v>
      </c>
      <c r="I97" s="80">
        <f t="shared" ref="I97" si="41">IF($B$2&gt;=A97,($B$2-A97+1)*G97,"-")</f>
        <v>300</v>
      </c>
      <c r="J97" s="65">
        <f t="shared" ref="J97:J99" si="42">($A$2-A97+1)*G97</f>
        <v>300</v>
      </c>
      <c r="K97" s="629" t="s">
        <v>272</v>
      </c>
      <c r="L97" s="252">
        <f ca="1">IF((AC97)&lt;$L$2-DAY($L$2)+1,H97,H97+S97)</f>
        <v>15</v>
      </c>
      <c r="M97" s="68">
        <v>116</v>
      </c>
      <c r="N97" s="68">
        <v>166</v>
      </c>
      <c r="O97" s="372">
        <v>19.8</v>
      </c>
      <c r="P97" s="70">
        <v>1560</v>
      </c>
      <c r="Q97" s="64">
        <v>2068</v>
      </c>
      <c r="R97" s="629" t="s">
        <v>272</v>
      </c>
      <c r="S97" s="64">
        <v>101</v>
      </c>
      <c r="T97" s="70">
        <v>145</v>
      </c>
      <c r="U97" s="1846">
        <v>19.8</v>
      </c>
      <c r="V97" s="70">
        <v>1589</v>
      </c>
      <c r="W97" s="70">
        <v>2068</v>
      </c>
      <c r="X97" s="64"/>
      <c r="Y97" s="70"/>
      <c r="Z97" s="70"/>
      <c r="AA97" s="70"/>
      <c r="AB97" s="274" t="s">
        <v>126</v>
      </c>
      <c r="AC97" s="319">
        <v>42032</v>
      </c>
      <c r="AD97" s="288">
        <f>AC97+7</f>
        <v>42039</v>
      </c>
      <c r="AE97" s="1723">
        <f t="shared" si="28"/>
        <v>42044</v>
      </c>
      <c r="AF97" s="78">
        <f>IF(AC97&lt;$D$1,0,AE97-AC97)</f>
        <v>0</v>
      </c>
      <c r="AG97" s="75">
        <f>IF(S97="","",AF97*S97)</f>
        <v>0</v>
      </c>
      <c r="AH97" s="319"/>
      <c r="AI97" s="288"/>
      <c r="AJ97" s="77"/>
      <c r="AK97" s="74"/>
      <c r="AL97" s="75"/>
      <c r="AM97" s="78"/>
      <c r="AN97" s="74"/>
      <c r="AO97" s="63"/>
      <c r="AP97" s="74"/>
      <c r="AQ97" s="112"/>
      <c r="AR97" s="68"/>
      <c r="AS97" s="68"/>
      <c r="AT97" s="68"/>
      <c r="AU97" s="68"/>
      <c r="AV97" s="258"/>
      <c r="AW97" s="843"/>
      <c r="AX97" s="84"/>
      <c r="AY97" s="64"/>
      <c r="AZ97" s="63"/>
      <c r="BA97" s="312"/>
      <c r="BB97" s="1317"/>
      <c r="BC97" s="1484"/>
      <c r="BD97" s="703"/>
      <c r="BE97" s="841"/>
      <c r="BF97" s="93"/>
      <c r="BG97" s="91"/>
      <c r="BH97" s="93"/>
      <c r="BI97" s="748"/>
      <c r="BJ97" s="748"/>
      <c r="BK97" s="748"/>
      <c r="BL97" s="91"/>
      <c r="BM97" s="91"/>
      <c r="BN97" s="94"/>
      <c r="BO97" s="1319"/>
      <c r="BP97" s="1911">
        <f t="shared" ref="BP97:BP100" si="43">IF(AC97&lt;=$D$1,S97,0)</f>
        <v>101</v>
      </c>
      <c r="BQ97" s="1859">
        <f t="shared" ref="BQ97:BQ99" si="44">BP97*($A$2-A97+1)</f>
        <v>2020</v>
      </c>
      <c r="BR97" s="132"/>
      <c r="BS97" s="99"/>
      <c r="BT97" s="284">
        <f t="shared" si="29"/>
        <v>101</v>
      </c>
      <c r="BU97" s="214">
        <f t="shared" si="30"/>
        <v>0</v>
      </c>
      <c r="BV97" s="214">
        <f t="shared" si="31"/>
        <v>101</v>
      </c>
      <c r="BW97" s="101"/>
      <c r="BX97" s="102"/>
      <c r="BY97" s="103">
        <f t="shared" si="32"/>
        <v>0</v>
      </c>
      <c r="BZ97" s="104">
        <f t="shared" si="33"/>
        <v>42044</v>
      </c>
      <c r="CA97" s="105">
        <f t="shared" si="34"/>
        <v>630540</v>
      </c>
      <c r="CB97" s="718"/>
      <c r="CC97" s="719"/>
      <c r="CD97" s="719"/>
      <c r="CE97" s="720"/>
      <c r="CF97" s="721" t="s">
        <v>125</v>
      </c>
      <c r="CH97" s="1322">
        <v>2.4573066024769216E-2</v>
      </c>
      <c r="CI97" s="1322">
        <v>1.6098431593487583E-3</v>
      </c>
      <c r="CJ97" s="1322">
        <v>2.6182909184117975E-2</v>
      </c>
      <c r="CK97" s="1313">
        <f t="shared" ref="CK97" si="45">IF($BP97&lt;=$B$1,T97-T97*CH97,T97)</f>
        <v>141.43690542640846</v>
      </c>
      <c r="CL97" s="1321">
        <f>IF($BP97&lt;=$B$1,S97-S97*CJ97,S97)</f>
        <v>98.355526172404083</v>
      </c>
      <c r="CM97" s="1321">
        <f t="shared" si="36"/>
        <v>17.164572111666381</v>
      </c>
      <c r="CN97" s="1321">
        <f t="shared" si="37"/>
        <v>0.4799017159295289</v>
      </c>
      <c r="CO97" s="1321">
        <f t="shared" si="38"/>
        <v>17.64447382759591</v>
      </c>
      <c r="CP97" s="1322">
        <v>1.2788029781702123E-2</v>
      </c>
      <c r="CQ97" s="1322">
        <v>7.6035270394966201E-3</v>
      </c>
      <c r="CR97" s="1322">
        <v>2.0391556821198743E-2</v>
      </c>
      <c r="CS97" s="1313">
        <f t="shared" si="39"/>
        <v>163.87718705623746</v>
      </c>
      <c r="CT97" s="1321">
        <f t="shared" si="40"/>
        <v>113.63457940874095</v>
      </c>
      <c r="CU97" s="602"/>
    </row>
    <row r="98" spans="1:99" ht="33.75" customHeight="1">
      <c r="A98" s="310">
        <f>DAY(AE98)</f>
        <v>12</v>
      </c>
      <c r="B98" s="247">
        <v>900</v>
      </c>
      <c r="C98" s="247">
        <v>9</v>
      </c>
      <c r="D98" s="62" t="s">
        <v>304</v>
      </c>
      <c r="E98" s="62"/>
      <c r="F98" s="247"/>
      <c r="G98" s="80">
        <f>M98-S98</f>
        <v>14</v>
      </c>
      <c r="H98" s="80">
        <f>M98-S98</f>
        <v>14</v>
      </c>
      <c r="I98" s="80">
        <f>IF($B$2&gt;=A98,($B$2-A98+1)*G98,"-")</f>
        <v>238</v>
      </c>
      <c r="J98" s="65">
        <f t="shared" si="42"/>
        <v>238</v>
      </c>
      <c r="K98" s="271" t="s">
        <v>273</v>
      </c>
      <c r="L98" s="252">
        <f ca="1">IF((AC98)&lt;$L$2-DAY($L$2)+1,H98,H98+S98)</f>
        <v>14</v>
      </c>
      <c r="M98" s="68">
        <v>30</v>
      </c>
      <c r="N98" s="68">
        <v>35</v>
      </c>
      <c r="O98" s="372">
        <v>1.1000000000000001</v>
      </c>
      <c r="P98" s="70">
        <v>1705</v>
      </c>
      <c r="Q98" s="70">
        <v>1850</v>
      </c>
      <c r="R98" s="629" t="s">
        <v>273</v>
      </c>
      <c r="S98" s="64">
        <v>16</v>
      </c>
      <c r="T98" s="70">
        <v>19</v>
      </c>
      <c r="U98" s="1846">
        <v>1.1000000000000001</v>
      </c>
      <c r="V98" s="70">
        <v>1746</v>
      </c>
      <c r="W98" s="70">
        <v>1850</v>
      </c>
      <c r="X98" s="64"/>
      <c r="Y98" s="70"/>
      <c r="Z98" s="70"/>
      <c r="AA98" s="70"/>
      <c r="AB98" s="274" t="s">
        <v>126</v>
      </c>
      <c r="AC98" s="319">
        <v>42035</v>
      </c>
      <c r="AD98" s="288">
        <f>AC98+7</f>
        <v>42042</v>
      </c>
      <c r="AE98" s="1723">
        <f t="shared" si="28"/>
        <v>42047</v>
      </c>
      <c r="AF98" s="78">
        <f>IF(AC98&lt;$D$1,0,AE98-AC98)</f>
        <v>0</v>
      </c>
      <c r="AG98" s="75">
        <f>IF(S98="","",AF98*S98)</f>
        <v>0</v>
      </c>
      <c r="AH98" s="319"/>
      <c r="AI98" s="288"/>
      <c r="AJ98" s="77"/>
      <c r="AK98" s="74"/>
      <c r="AL98" s="75"/>
      <c r="AM98" s="78"/>
      <c r="AN98" s="74"/>
      <c r="AO98" s="63"/>
      <c r="AP98" s="74"/>
      <c r="AQ98" s="112"/>
      <c r="AR98" s="68"/>
      <c r="AS98" s="68"/>
      <c r="AT98" s="68"/>
      <c r="AU98" s="68"/>
      <c r="AV98" s="258"/>
      <c r="AW98" s="843"/>
      <c r="AX98" s="84"/>
      <c r="AY98" s="64"/>
      <c r="AZ98" s="63"/>
      <c r="BA98" s="312"/>
      <c r="BB98" s="1317"/>
      <c r="BC98" s="1484"/>
      <c r="BD98" s="703"/>
      <c r="BE98" s="513"/>
      <c r="BF98" s="93"/>
      <c r="BG98" s="91"/>
      <c r="BH98" s="93"/>
      <c r="BI98" s="748"/>
      <c r="BJ98" s="748"/>
      <c r="BK98" s="748"/>
      <c r="BL98" s="91"/>
      <c r="BM98" s="91"/>
      <c r="BN98" s="94"/>
      <c r="BO98" s="1319"/>
      <c r="BP98" s="1911">
        <f t="shared" si="43"/>
        <v>16</v>
      </c>
      <c r="BQ98" s="1859">
        <f t="shared" si="44"/>
        <v>272</v>
      </c>
      <c r="BR98" s="132"/>
      <c r="BS98" s="99"/>
      <c r="BT98" s="284">
        <f t="shared" si="29"/>
        <v>16</v>
      </c>
      <c r="BU98" s="214">
        <f t="shared" si="30"/>
        <v>0</v>
      </c>
      <c r="BV98" s="214">
        <f t="shared" si="31"/>
        <v>16</v>
      </c>
      <c r="BW98" s="101"/>
      <c r="BX98" s="102"/>
      <c r="BY98" s="103">
        <f t="shared" si="32"/>
        <v>0</v>
      </c>
      <c r="BZ98" s="104">
        <f t="shared" si="33"/>
        <v>42047</v>
      </c>
      <c r="CA98" s="105">
        <f t="shared" si="34"/>
        <v>588504</v>
      </c>
      <c r="CB98" s="718"/>
      <c r="CC98" s="719"/>
      <c r="CD98" s="719"/>
      <c r="CE98" s="720"/>
      <c r="CF98" s="721" t="s">
        <v>125</v>
      </c>
      <c r="CH98" s="1322">
        <v>2.4573066024769216E-2</v>
      </c>
      <c r="CI98" s="1322">
        <v>1.6098431593487583E-3</v>
      </c>
      <c r="CJ98" s="1322">
        <v>2.6182909184117975E-2</v>
      </c>
      <c r="CK98" s="1313">
        <f>IF($BP98&lt;=$B$1,T98-T98*CH98,T98)</f>
        <v>18.533111745529386</v>
      </c>
      <c r="CL98" s="1321">
        <f t="shared" si="35"/>
        <v>15.581073453054113</v>
      </c>
      <c r="CM98" s="1321">
        <f t="shared" si="36"/>
        <v>14.114475646689099</v>
      </c>
      <c r="CN98" s="1321">
        <f>IF(CK98=0,0,-($CL98-$CK98*$M98/$N98))</f>
        <v>0.30445090025678923</v>
      </c>
      <c r="CO98" s="1321">
        <f>CM98+CN98</f>
        <v>14.418926546945888</v>
      </c>
      <c r="CP98" s="1322">
        <v>1.2788029781702123E-2</v>
      </c>
      <c r="CQ98" s="1322">
        <v>7.6035270394966201E-3</v>
      </c>
      <c r="CR98" s="1322">
        <v>2.0391556821198743E-2</v>
      </c>
      <c r="CS98" s="1313">
        <f t="shared" si="39"/>
        <v>34.552418957640427</v>
      </c>
      <c r="CT98" s="1321">
        <f>IF($A98&lt;=$B$1,M98-M98*CR98,M98)</f>
        <v>29.388253295364038</v>
      </c>
      <c r="CU98" s="602"/>
    </row>
    <row r="99" spans="1:99" ht="33.75" customHeight="1">
      <c r="A99" s="310">
        <f>DAY(AE99)</f>
        <v>20</v>
      </c>
      <c r="B99" s="247">
        <v>1000</v>
      </c>
      <c r="C99" s="247">
        <v>10</v>
      </c>
      <c r="D99" s="62" t="s">
        <v>304</v>
      </c>
      <c r="E99" s="62"/>
      <c r="F99" s="247"/>
      <c r="G99" s="80">
        <f>M99-S99</f>
        <v>14</v>
      </c>
      <c r="H99" s="80">
        <f>M99-S99</f>
        <v>14</v>
      </c>
      <c r="I99" s="80">
        <f>IF($B$2&gt;=A99,($B$2-A99+1)*G99,"-")</f>
        <v>126</v>
      </c>
      <c r="J99" s="65">
        <f t="shared" si="42"/>
        <v>126</v>
      </c>
      <c r="K99" s="271" t="s">
        <v>274</v>
      </c>
      <c r="L99" s="252">
        <f ca="1">IF((AC99)&lt;$L$2-DAY($L$2)+1,H99,H99+S99)</f>
        <v>14</v>
      </c>
      <c r="M99" s="68">
        <v>22</v>
      </c>
      <c r="N99" s="68">
        <v>116</v>
      </c>
      <c r="O99" s="372">
        <v>78</v>
      </c>
      <c r="P99" s="70">
        <v>2285</v>
      </c>
      <c r="Q99" s="70">
        <v>2442</v>
      </c>
      <c r="R99" s="629" t="s">
        <v>274</v>
      </c>
      <c r="S99" s="64">
        <v>8</v>
      </c>
      <c r="T99" s="70">
        <v>100</v>
      </c>
      <c r="U99" s="1846">
        <v>90.3</v>
      </c>
      <c r="V99" s="70">
        <v>2317</v>
      </c>
      <c r="W99" s="70">
        <v>2442</v>
      </c>
      <c r="X99" s="64"/>
      <c r="Y99" s="70"/>
      <c r="Z99" s="70"/>
      <c r="AA99" s="70"/>
      <c r="AB99" s="274"/>
      <c r="AC99" s="319">
        <v>42043</v>
      </c>
      <c r="AD99" s="288">
        <f>AC99+7</f>
        <v>42050</v>
      </c>
      <c r="AE99" s="1723">
        <f t="shared" si="28"/>
        <v>42055</v>
      </c>
      <c r="AF99" s="78">
        <f>IF(AC99&lt;$D$1,0,AE99-AC99)</f>
        <v>12</v>
      </c>
      <c r="AG99" s="75">
        <f>IF(S99="","",AF99*S99)</f>
        <v>96</v>
      </c>
      <c r="AH99" s="319"/>
      <c r="AI99" s="288"/>
      <c r="AJ99" s="77"/>
      <c r="AK99" s="74"/>
      <c r="AL99" s="75"/>
      <c r="AM99" s="78"/>
      <c r="AN99" s="74"/>
      <c r="AO99" s="63"/>
      <c r="AP99" s="74"/>
      <c r="AQ99" s="112"/>
      <c r="AR99" s="68"/>
      <c r="AS99" s="68"/>
      <c r="AT99" s="68"/>
      <c r="AU99" s="68"/>
      <c r="AV99" s="258"/>
      <c r="AW99" s="843"/>
      <c r="AX99" s="84"/>
      <c r="AY99" s="64"/>
      <c r="AZ99" s="63"/>
      <c r="BA99" s="312"/>
      <c r="BB99" s="1317"/>
      <c r="BC99" s="1484"/>
      <c r="BD99" s="703"/>
      <c r="BE99" s="513"/>
      <c r="BF99" s="93"/>
      <c r="BG99" s="91"/>
      <c r="BH99" s="93"/>
      <c r="BI99" s="748"/>
      <c r="BJ99" s="748"/>
      <c r="BK99" s="748"/>
      <c r="BL99" s="91"/>
      <c r="BM99" s="91"/>
      <c r="BN99" s="94"/>
      <c r="BO99" s="1319"/>
      <c r="BP99" s="1911">
        <f t="shared" si="43"/>
        <v>0</v>
      </c>
      <c r="BQ99" s="1859">
        <f t="shared" si="44"/>
        <v>0</v>
      </c>
      <c r="BR99" s="132"/>
      <c r="BS99" s="99"/>
      <c r="BT99" s="284"/>
      <c r="BU99" s="214"/>
      <c r="BV99" s="214"/>
      <c r="BW99" s="101"/>
      <c r="BX99" s="102"/>
      <c r="BY99" s="103"/>
      <c r="BZ99" s="104"/>
      <c r="CA99" s="105"/>
      <c r="CB99" s="718"/>
      <c r="CC99" s="719"/>
      <c r="CD99" s="719"/>
      <c r="CE99" s="720"/>
      <c r="CF99" s="721"/>
      <c r="CH99" s="1322"/>
      <c r="CI99" s="1322"/>
      <c r="CJ99" s="1322"/>
      <c r="CK99" s="1313"/>
      <c r="CL99" s="1321"/>
      <c r="CM99" s="1321"/>
      <c r="CN99" s="1321"/>
      <c r="CO99" s="1321"/>
      <c r="CP99" s="1322"/>
      <c r="CQ99" s="1322"/>
      <c r="CR99" s="1322"/>
      <c r="CS99" s="1313"/>
      <c r="CT99" s="1321"/>
      <c r="CU99" s="602"/>
    </row>
    <row r="100" spans="1:99" ht="33.75" customHeight="1">
      <c r="A100" s="386"/>
      <c r="B100" s="247">
        <v>1100</v>
      </c>
      <c r="C100" s="247">
        <v>11</v>
      </c>
      <c r="D100" s="62" t="s">
        <v>304</v>
      </c>
      <c r="E100" s="62"/>
      <c r="F100" s="247"/>
      <c r="G100" s="80"/>
      <c r="H100" s="80"/>
      <c r="I100" s="80"/>
      <c r="J100" s="65"/>
      <c r="K100" s="271" t="s">
        <v>273</v>
      </c>
      <c r="L100" s="252"/>
      <c r="M100" s="68">
        <v>40</v>
      </c>
      <c r="N100" s="68">
        <v>46</v>
      </c>
      <c r="O100" s="372">
        <v>0.1</v>
      </c>
      <c r="P100" s="70">
        <v>1760</v>
      </c>
      <c r="Q100" s="64">
        <v>1873</v>
      </c>
      <c r="R100" s="629" t="s">
        <v>273</v>
      </c>
      <c r="S100" s="64">
        <v>27</v>
      </c>
      <c r="T100" s="70">
        <v>31</v>
      </c>
      <c r="U100" s="1846">
        <v>0.1</v>
      </c>
      <c r="V100" s="70">
        <v>1775</v>
      </c>
      <c r="W100" s="70">
        <v>1873</v>
      </c>
      <c r="X100" s="64"/>
      <c r="Y100" s="70"/>
      <c r="Z100" s="70"/>
      <c r="AA100" s="70"/>
      <c r="AB100" s="274"/>
      <c r="AC100" s="319">
        <v>42055</v>
      </c>
      <c r="AD100" s="288">
        <f>AC100+7</f>
        <v>42062</v>
      </c>
      <c r="AE100" s="1723" t="s">
        <v>312</v>
      </c>
      <c r="AF100" s="78">
        <v>9</v>
      </c>
      <c r="AG100" s="75">
        <f>IF(S100="","",AF100*S100)</f>
        <v>243</v>
      </c>
      <c r="AH100" s="319"/>
      <c r="AI100" s="288"/>
      <c r="AJ100" s="77"/>
      <c r="AK100" s="74"/>
      <c r="AL100" s="75"/>
      <c r="AM100" s="78"/>
      <c r="AN100" s="74"/>
      <c r="AO100" s="63"/>
      <c r="AP100" s="74"/>
      <c r="AQ100" s="112"/>
      <c r="AR100" s="68"/>
      <c r="AS100" s="68"/>
      <c r="AT100" s="68"/>
      <c r="AU100" s="68"/>
      <c r="AV100" s="258"/>
      <c r="AW100" s="843"/>
      <c r="AX100" s="84"/>
      <c r="AY100" s="64"/>
      <c r="AZ100" s="63"/>
      <c r="BA100" s="312"/>
      <c r="BB100" s="1317"/>
      <c r="BC100" s="1484"/>
      <c r="BD100" s="703"/>
      <c r="BE100" s="513"/>
      <c r="BF100" s="93"/>
      <c r="BG100" s="91"/>
      <c r="BH100" s="93"/>
      <c r="BI100" s="748"/>
      <c r="BJ100" s="748"/>
      <c r="BK100" s="748"/>
      <c r="BL100" s="91"/>
      <c r="BM100" s="91"/>
      <c r="BN100" s="94"/>
      <c r="BO100" s="1319"/>
      <c r="BP100" s="1911">
        <f t="shared" si="43"/>
        <v>0</v>
      </c>
      <c r="BQ100" s="1859">
        <f>BP100*($A$2-A100+1)</f>
        <v>0</v>
      </c>
      <c r="BR100" s="132"/>
      <c r="BS100" s="99"/>
      <c r="BT100" s="284">
        <f t="shared" si="29"/>
        <v>27</v>
      </c>
      <c r="BU100" s="214">
        <f t="shared" si="30"/>
        <v>243</v>
      </c>
      <c r="BV100" s="214">
        <f t="shared" si="31"/>
        <v>27</v>
      </c>
      <c r="BW100" s="101"/>
      <c r="BX100" s="102"/>
      <c r="BY100" s="103"/>
      <c r="BZ100" s="104" t="e">
        <f>IF(AM100&gt;0,"-",(AE100-BX100))</f>
        <v>#VALUE!</v>
      </c>
      <c r="CA100" s="105"/>
      <c r="CB100" s="718"/>
      <c r="CC100" s="719"/>
      <c r="CD100" s="719"/>
      <c r="CE100" s="720"/>
      <c r="CF100" s="721"/>
      <c r="CH100" s="1322">
        <v>2.2921E-2</v>
      </c>
      <c r="CI100" s="1322">
        <v>3.8779999999999999E-3</v>
      </c>
      <c r="CJ100" s="1322">
        <v>2.6799E-2</v>
      </c>
      <c r="CK100" s="1313">
        <f>IF($BP100&lt;=$B$1,T100-T100*CH100,T100)</f>
        <v>30.289449000000001</v>
      </c>
      <c r="CL100" s="1321">
        <f>IF($BP100&lt;=$B$1,S100-S100*CJ100,S100)</f>
        <v>26.276426999999998</v>
      </c>
      <c r="CM100" s="1321">
        <f t="shared" si="36"/>
        <v>13.661348695652173</v>
      </c>
      <c r="CN100" s="1321">
        <f>IF(CK100=0,0,-($CL100-$CK100*$M100/$N100))</f>
        <v>6.2224304347829218E-2</v>
      </c>
      <c r="CO100" s="1321">
        <f>CM100+CN100</f>
        <v>13.723573000000002</v>
      </c>
      <c r="CP100" s="1322">
        <v>1.1599999999999999E-2</v>
      </c>
      <c r="CQ100" s="1322">
        <v>6.6E-3</v>
      </c>
      <c r="CR100" s="1322">
        <v>1.8200000000000001E-2</v>
      </c>
      <c r="CS100" s="1313">
        <f>IF($A100&lt;=$B$1,N100-N100*CP100,N100)</f>
        <v>45.4664</v>
      </c>
      <c r="CT100" s="1321">
        <f>IF($A100&lt;=$B$1,M100-M100*CR100,M100)</f>
        <v>39.271999999999998</v>
      </c>
      <c r="CU100" s="602"/>
    </row>
    <row r="101" spans="1:99" ht="33.75" customHeight="1" outlineLevel="1">
      <c r="A101" s="310"/>
      <c r="B101" s="247"/>
      <c r="C101" s="247"/>
      <c r="D101" s="62"/>
      <c r="E101" s="62"/>
      <c r="F101" s="247"/>
      <c r="G101" s="80"/>
      <c r="H101" s="80"/>
      <c r="I101" s="80"/>
      <c r="J101" s="65"/>
      <c r="K101" s="629"/>
      <c r="L101" s="252"/>
      <c r="M101" s="68"/>
      <c r="N101" s="68"/>
      <c r="O101" s="372"/>
      <c r="P101" s="70"/>
      <c r="Q101" s="70"/>
      <c r="R101" s="629"/>
      <c r="S101" s="64"/>
      <c r="T101" s="70"/>
      <c r="U101" s="372"/>
      <c r="V101" s="70"/>
      <c r="W101" s="70"/>
      <c r="X101" s="64"/>
      <c r="Y101" s="70"/>
      <c r="Z101" s="70"/>
      <c r="AA101" s="70"/>
      <c r="AB101" s="274" t="s">
        <v>93</v>
      </c>
      <c r="AC101" s="319"/>
      <c r="AD101" s="288"/>
      <c r="AE101" s="1723"/>
      <c r="AF101" s="78"/>
      <c r="AG101" s="75"/>
      <c r="AH101" s="319"/>
      <c r="AI101" s="288"/>
      <c r="AJ101" s="77"/>
      <c r="AK101" s="74"/>
      <c r="AL101" s="75"/>
      <c r="AM101" s="78"/>
      <c r="AN101" s="74"/>
      <c r="AO101" s="63"/>
      <c r="AP101" s="74"/>
      <c r="AQ101" s="112"/>
      <c r="AR101" s="68"/>
      <c r="AS101" s="68"/>
      <c r="AT101" s="68"/>
      <c r="AU101" s="68"/>
      <c r="AV101" s="258"/>
      <c r="AW101" s="843"/>
      <c r="AX101" s="84"/>
      <c r="AY101" s="64"/>
      <c r="AZ101" s="63"/>
      <c r="BA101" s="312"/>
      <c r="BB101" s="1317"/>
      <c r="BC101" s="1484"/>
      <c r="BD101" s="703"/>
      <c r="BE101" s="513"/>
      <c r="BF101" s="93"/>
      <c r="BG101" s="91"/>
      <c r="BH101" s="93"/>
      <c r="BI101" s="748"/>
      <c r="BJ101" s="748"/>
      <c r="BK101" s="748"/>
      <c r="BL101" s="91"/>
      <c r="BM101" s="91"/>
      <c r="BN101" s="94"/>
      <c r="BO101" s="1319"/>
      <c r="BP101" s="1912"/>
      <c r="BQ101" s="99"/>
      <c r="BR101" s="132"/>
      <c r="BS101" s="99"/>
      <c r="BT101" s="284">
        <f t="shared" si="29"/>
        <v>0</v>
      </c>
      <c r="BU101" s="214">
        <f t="shared" si="30"/>
        <v>0</v>
      </c>
      <c r="BV101" s="214" t="str">
        <f t="shared" si="31"/>
        <v>-</v>
      </c>
      <c r="BW101" s="101"/>
      <c r="BX101" s="102"/>
      <c r="BY101" s="103"/>
      <c r="BZ101" s="104"/>
      <c r="CA101" s="105"/>
      <c r="CB101" s="718"/>
      <c r="CC101" s="719"/>
      <c r="CD101" s="719"/>
      <c r="CE101" s="720"/>
      <c r="CF101" s="721"/>
      <c r="CH101" s="1322">
        <v>2.2921E-2</v>
      </c>
      <c r="CI101" s="1322">
        <v>3.8779999999999999E-3</v>
      </c>
      <c r="CJ101" s="1322">
        <v>2.6799E-2</v>
      </c>
      <c r="CK101" s="1313">
        <f>IF($BP101&lt;=$B$1,T101-T101*CH101,T101)</f>
        <v>0</v>
      </c>
      <c r="CL101" s="1321">
        <f>IF($BP101&lt;=$B$1,S101-S101*CJ101,S101)</f>
        <v>0</v>
      </c>
      <c r="CM101" s="1321">
        <f t="shared" si="36"/>
        <v>0</v>
      </c>
      <c r="CN101" s="1321">
        <f>IF(CK101=0,0,-($CL101-$CK101*$M101/$N101))</f>
        <v>0</v>
      </c>
      <c r="CO101" s="1321">
        <f>CM101+CN101</f>
        <v>0</v>
      </c>
      <c r="CP101" s="1322">
        <v>1.1599999999999999E-2</v>
      </c>
      <c r="CQ101" s="1322">
        <v>6.6E-3</v>
      </c>
      <c r="CR101" s="1322">
        <v>1.8200000000000001E-2</v>
      </c>
      <c r="CS101" s="1313">
        <f>IF($A101&lt;=$B$1,N101-N101*CP101,N101)</f>
        <v>0</v>
      </c>
      <c r="CT101" s="1321">
        <f>IF($A101&lt;=$B$1,M101-M101*CR101,M101)</f>
        <v>0</v>
      </c>
      <c r="CU101" s="602"/>
    </row>
    <row r="102" spans="1:99" ht="33.75" customHeight="1">
      <c r="A102" s="148" t="s">
        <v>220</v>
      </c>
      <c r="B102" s="149">
        <f>COUNTIF(A96:A101,$B$1)</f>
        <v>4</v>
      </c>
      <c r="C102" s="150"/>
      <c r="D102" s="151"/>
      <c r="E102" s="151"/>
      <c r="F102" s="151"/>
      <c r="G102" s="152">
        <f>SUMIF(A96:A101,$B$1,G96:G101)</f>
        <v>57</v>
      </c>
      <c r="H102" s="152">
        <f>SUMIF(A96:A101,$B$1,H96:H101)</f>
        <v>57</v>
      </c>
      <c r="I102" s="152">
        <f>SUM(I96:I101)</f>
        <v>986</v>
      </c>
      <c r="J102" s="152"/>
      <c r="K102" s="152"/>
      <c r="L102" s="153">
        <f ca="1">SUMIF(A96:A101,$B$1,L96:L101)</f>
        <v>57</v>
      </c>
      <c r="M102" s="153">
        <f>SUMIF(A96:A101,$B$1,M96:M101)</f>
        <v>210</v>
      </c>
      <c r="N102" s="152"/>
      <c r="O102" s="152"/>
      <c r="P102" s="152"/>
      <c r="Q102" s="152"/>
      <c r="R102" s="152"/>
      <c r="S102" s="152">
        <f>SUMIF(A96:A101,$B$1,S96:S101)</f>
        <v>153</v>
      </c>
      <c r="T102" s="152">
        <f>SUMIF(A96:A101,$B$1,T96:T101)</f>
        <v>468</v>
      </c>
      <c r="U102" s="151"/>
      <c r="V102" s="151"/>
      <c r="W102" s="151"/>
      <c r="X102" s="152"/>
      <c r="Y102" s="152"/>
      <c r="Z102" s="151"/>
      <c r="AA102" s="151"/>
      <c r="AB102" s="151"/>
      <c r="AC102" s="154"/>
      <c r="AD102" s="155"/>
      <c r="AE102" s="1718"/>
      <c r="AF102" s="158"/>
      <c r="AG102" s="157"/>
      <c r="AH102" s="730"/>
      <c r="AI102" s="156"/>
      <c r="AJ102" s="156"/>
      <c r="AK102" s="152"/>
      <c r="AL102" s="157"/>
      <c r="AM102" s="297">
        <f>COUNTA(AM96:AM101)</f>
        <v>0</v>
      </c>
      <c r="AN102" s="152">
        <f>SUM(AN96:AN101)</f>
        <v>0</v>
      </c>
      <c r="AO102" s="152">
        <f>SUM(AO96:AO101)</f>
        <v>0</v>
      </c>
      <c r="AP102" s="161"/>
      <c r="AQ102" s="151"/>
      <c r="AR102" s="151"/>
      <c r="AS102" s="151"/>
      <c r="AT102" s="151"/>
      <c r="AU102" s="151"/>
      <c r="AV102" s="151"/>
      <c r="AW102" s="151"/>
      <c r="AX102" s="163">
        <f>SUM(AX96:AX101)</f>
        <v>0</v>
      </c>
      <c r="AY102" s="163">
        <f>SUM(AY96:AY101)</f>
        <v>0</v>
      </c>
      <c r="AZ102" s="163">
        <f>SUM(AZ96:AZ101)</f>
        <v>0</v>
      </c>
      <c r="BA102" s="221" t="str">
        <f>IF(COUNT(BA96:BA101)=0,"-",AVERAGE(BA96:BA101))</f>
        <v>-</v>
      </c>
      <c r="BB102" s="1386"/>
      <c r="BC102" s="341"/>
      <c r="BD102" s="340"/>
      <c r="BE102" s="341"/>
      <c r="BF102" s="341"/>
      <c r="BG102" s="341"/>
      <c r="BH102" s="341"/>
      <c r="BI102" s="341"/>
      <c r="BJ102" s="341"/>
      <c r="BK102" s="341"/>
      <c r="BL102" s="341"/>
      <c r="BM102" s="341"/>
      <c r="BN102" s="300"/>
      <c r="BO102" s="1498"/>
      <c r="BP102" s="1868">
        <f>COUNTIF(BP96:BP101,"&gt;0")</f>
        <v>3</v>
      </c>
      <c r="BQ102" s="1867"/>
      <c r="BR102" s="845"/>
      <c r="BS102" s="846"/>
      <c r="BT102" s="847"/>
      <c r="BU102" s="847"/>
      <c r="BV102" s="847"/>
      <c r="BW102" s="171"/>
      <c r="BX102" s="577"/>
      <c r="BY102" s="173">
        <f>AM102</f>
        <v>0</v>
      </c>
      <c r="BZ102" s="173">
        <f>COUNTIF(BZ96:BZ101,"=0")</f>
        <v>0</v>
      </c>
      <c r="CA102" s="174">
        <f>SUM(COUNTIF(BZ96:BZ101,"&lt;0"),COUNTIF(BZ96:BZ101,"&gt;0"))</f>
        <v>3</v>
      </c>
      <c r="CB102" s="848"/>
      <c r="CC102" s="176"/>
      <c r="CD102" s="176"/>
      <c r="CE102" s="577"/>
      <c r="CF102" s="731"/>
      <c r="CH102" s="1312"/>
      <c r="CI102" s="1312"/>
      <c r="CJ102" s="1312"/>
      <c r="CK102" s="1354">
        <f>SUMIF($BP96:$BP101,$B$1,CK96:CK101)</f>
        <v>247.80965527647646</v>
      </c>
      <c r="CL102" s="1355">
        <f>SUMIF($BP96:$BP101,$B$1,CL96:CL101)</f>
        <v>69.124378995898809</v>
      </c>
      <c r="CM102" s="1355">
        <f>SUMIF($A96:$A101,$B$1,CM96:CM101)</f>
        <v>35.290602438811042</v>
      </c>
      <c r="CN102" s="1355">
        <f>SUMIF($A96:$A101,$B$1,CN96:CN101)</f>
        <v>11.505919392886067</v>
      </c>
      <c r="CO102" s="1356">
        <f>SUMIF($A96:$A101,$B$1,CO96:CO101)</f>
        <v>46.796521831697106</v>
      </c>
      <c r="CP102" s="1312"/>
      <c r="CQ102" s="1312"/>
      <c r="CR102" s="1312"/>
      <c r="CS102" s="1354">
        <f>SUMIF($A96:$A101,$B$1,CS96:CS101)</f>
        <v>415.61623946190343</v>
      </c>
      <c r="CT102" s="1354">
        <f>SUMIF($A96:$A101,$B$1,CT96:CT101)</f>
        <v>184.16638731761464</v>
      </c>
      <c r="CU102" s="602"/>
    </row>
    <row r="103" spans="1:99" ht="33.75" customHeight="1">
      <c r="A103" s="179" t="s">
        <v>87</v>
      </c>
      <c r="B103" s="348">
        <f>COUNT(D116A101:#REF!)</f>
        <v>0</v>
      </c>
      <c r="C103" s="181"/>
      <c r="D103" s="182"/>
      <c r="E103" s="182"/>
      <c r="F103" s="182"/>
      <c r="G103" s="184">
        <f>SUM(G96:G101)</f>
        <v>57</v>
      </c>
      <c r="H103" s="184">
        <f>SUMIF(A96:A101,"&gt;0",H96:H101)</f>
        <v>57</v>
      </c>
      <c r="I103" s="184"/>
      <c r="J103" s="184">
        <f>SUM(J96:J101)</f>
        <v>986</v>
      </c>
      <c r="K103" s="184"/>
      <c r="L103" s="184"/>
      <c r="M103" s="184"/>
      <c r="N103" s="184"/>
      <c r="O103" s="184"/>
      <c r="P103" s="184"/>
      <c r="Q103" s="184"/>
      <c r="R103" s="185"/>
      <c r="S103" s="185">
        <f>SUMIF(AE96:AE101,"перех.",S96:S101)</f>
        <v>27</v>
      </c>
      <c r="T103" s="185"/>
      <c r="U103" s="182"/>
      <c r="V103" s="182"/>
      <c r="W103" s="182"/>
      <c r="X103" s="185">
        <f>SUMIF(AK96:AK101,"перех.",X96:X101)</f>
        <v>0</v>
      </c>
      <c r="Y103" s="185"/>
      <c r="Z103" s="182"/>
      <c r="AA103" s="182"/>
      <c r="AB103" s="182"/>
      <c r="AC103" s="186"/>
      <c r="AD103" s="186"/>
      <c r="AE103" s="1719"/>
      <c r="AF103" s="184">
        <f>COUNTIF(AF96:AF101,"&gt;0")</f>
        <v>2</v>
      </c>
      <c r="AG103" s="191">
        <f>SUM(AG96:AG101)</f>
        <v>339</v>
      </c>
      <c r="AH103" s="186"/>
      <c r="AI103" s="186"/>
      <c r="AJ103" s="186"/>
      <c r="AK103" s="184"/>
      <c r="AL103" s="184"/>
      <c r="AM103" s="182"/>
      <c r="AN103" s="182"/>
      <c r="AO103" s="182"/>
      <c r="AP103" s="187"/>
      <c r="AQ103" s="182"/>
      <c r="AR103" s="182"/>
      <c r="AS103" s="182"/>
      <c r="AT103" s="182"/>
      <c r="AU103" s="182"/>
      <c r="AV103" s="182"/>
      <c r="AW103" s="182"/>
      <c r="AX103" s="190"/>
      <c r="AY103" s="190"/>
      <c r="AZ103" s="190"/>
      <c r="BA103" s="304"/>
      <c r="BB103" s="188">
        <f>SUM(BB96:BB101)</f>
        <v>0</v>
      </c>
      <c r="BC103" s="476"/>
      <c r="BD103" s="535"/>
      <c r="BE103" s="476"/>
      <c r="BF103" s="476"/>
      <c r="BG103" s="476"/>
      <c r="BH103" s="476"/>
      <c r="BI103" s="476"/>
      <c r="BJ103" s="476"/>
      <c r="BK103" s="476"/>
      <c r="BL103" s="476"/>
      <c r="BM103" s="476"/>
      <c r="BN103" s="476"/>
      <c r="BO103" s="1499"/>
      <c r="BP103" s="1872">
        <f>SUMIF(BP96:BP101,"&gt;0",BP96:BP101)</f>
        <v>145</v>
      </c>
      <c r="BQ103" s="1873">
        <f>SUMIF(BQ96:BQ100,"&gt;0",BQ96:BQ100)</f>
        <v>2936</v>
      </c>
      <c r="BR103" s="850"/>
      <c r="BS103" s="851"/>
      <c r="BT103" s="852"/>
      <c r="BU103" s="852"/>
      <c r="BV103" s="852"/>
      <c r="BW103" s="360"/>
      <c r="BX103" s="230"/>
      <c r="BY103" s="197" t="e">
        <f>SUM(BY96:BY101)</f>
        <v>#VALUE!</v>
      </c>
      <c r="BZ103" s="197">
        <f>SUMIF(BZ96:BZ101,"=0",CA96:CA101)</f>
        <v>0</v>
      </c>
      <c r="CA103" s="198">
        <f>SUMIF(BZ96:BZ101,"&lt;&gt;0",CA96:CA101)</f>
        <v>1807548</v>
      </c>
      <c r="CB103" s="477"/>
      <c r="CC103" s="308"/>
      <c r="CD103" s="308"/>
      <c r="CE103" s="230"/>
      <c r="CF103" s="744"/>
      <c r="CH103" s="1312"/>
      <c r="CI103" s="1312"/>
      <c r="CJ103" s="1312"/>
      <c r="CK103" s="1357"/>
      <c r="CL103" s="1358">
        <f>CL102-$S102</f>
        <v>-83.875621004101191</v>
      </c>
      <c r="CM103" s="1357"/>
      <c r="CN103" s="1359"/>
      <c r="CO103" s="1357"/>
      <c r="CP103" s="1312"/>
      <c r="CQ103" s="1312"/>
      <c r="CR103" s="1312"/>
      <c r="CS103" s="1357"/>
      <c r="CT103" s="1358">
        <f>CT102-$M102</f>
        <v>-25.833612682385365</v>
      </c>
      <c r="CU103" s="602"/>
    </row>
    <row r="104" spans="1:99" ht="30" hidden="1" customHeight="1" outlineLevel="1">
      <c r="A104" s="693"/>
      <c r="B104" s="203"/>
      <c r="C104" s="203"/>
      <c r="D104" s="203"/>
      <c r="E104" s="203"/>
      <c r="F104" s="694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696"/>
      <c r="AD104" s="696"/>
      <c r="AE104" s="696"/>
      <c r="AF104" s="697"/>
      <c r="AG104" s="697"/>
      <c r="AH104" s="698"/>
      <c r="AI104" s="696"/>
      <c r="AJ104" s="696"/>
      <c r="AK104" s="697"/>
      <c r="AL104" s="697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699"/>
      <c r="BD104" s="700"/>
      <c r="BE104" s="700"/>
      <c r="BF104" s="700"/>
      <c r="BG104" s="700"/>
      <c r="BH104" s="700"/>
      <c r="BI104" s="700"/>
      <c r="BJ104" s="700"/>
      <c r="BK104" s="700"/>
      <c r="BL104" s="700"/>
      <c r="BM104" s="700"/>
      <c r="BN104" s="700"/>
      <c r="BP104" s="1501"/>
      <c r="BQ104" s="854"/>
      <c r="BR104" s="854"/>
      <c r="BS104" s="855"/>
      <c r="BT104" s="856"/>
      <c r="BU104" s="856"/>
      <c r="BV104" s="856"/>
      <c r="BW104" s="52"/>
      <c r="BX104" s="53"/>
      <c r="BY104" s="53"/>
      <c r="BZ104" s="53"/>
      <c r="CA104" s="206"/>
      <c r="CF104" s="735"/>
      <c r="CH104" s="1312"/>
      <c r="CI104" s="1312"/>
      <c r="CJ104" s="1312"/>
      <c r="CK104" s="1313"/>
      <c r="CL104" s="1315"/>
      <c r="CM104" s="1315"/>
      <c r="CN104" s="1315"/>
      <c r="CO104" s="1315"/>
      <c r="CP104" s="1312"/>
      <c r="CQ104" s="1312"/>
      <c r="CR104" s="1312"/>
      <c r="CS104" s="1313"/>
      <c r="CT104" s="1315"/>
      <c r="CU104" s="602"/>
    </row>
    <row r="105" spans="1:99" ht="30" hidden="1" customHeight="1" outlineLevel="1">
      <c r="A105" s="2147"/>
      <c r="B105" s="2147"/>
      <c r="C105" s="2147"/>
      <c r="D105" s="2147"/>
      <c r="E105" s="2147"/>
      <c r="F105" s="2147"/>
      <c r="G105" s="2147"/>
      <c r="H105" s="2147"/>
      <c r="I105" s="2147"/>
      <c r="J105" s="2147"/>
      <c r="K105" s="2147"/>
      <c r="L105" s="2147"/>
      <c r="M105" s="2147"/>
      <c r="N105" s="2147"/>
      <c r="O105" s="2147"/>
      <c r="P105" s="2147"/>
      <c r="Q105" s="2147"/>
      <c r="R105" s="2147"/>
      <c r="S105" s="2147"/>
      <c r="T105" s="2147"/>
      <c r="U105" s="2147"/>
      <c r="V105" s="2147"/>
      <c r="W105" s="2147"/>
      <c r="X105" s="2147"/>
      <c r="Y105" s="2147"/>
      <c r="Z105" s="2147"/>
      <c r="AA105" s="2147"/>
      <c r="AB105" s="2147"/>
      <c r="AC105" s="2147"/>
      <c r="AD105" s="2147"/>
      <c r="AE105" s="2147"/>
      <c r="AF105" s="2147"/>
      <c r="AG105" s="2147"/>
      <c r="AH105" s="2147"/>
      <c r="AI105" s="2147"/>
      <c r="AJ105" s="2147"/>
      <c r="AK105" s="2147"/>
      <c r="AL105" s="2147"/>
      <c r="AM105" s="2147"/>
      <c r="AN105" s="2147"/>
      <c r="AO105" s="2147"/>
      <c r="AP105" s="2147"/>
      <c r="AQ105" s="2147"/>
      <c r="AR105" s="2147"/>
      <c r="AS105" s="2147"/>
      <c r="AT105" s="2147"/>
      <c r="AU105" s="2147"/>
      <c r="AV105" s="2147"/>
      <c r="AW105" s="2147"/>
      <c r="AX105" s="2147"/>
      <c r="AY105" s="2147"/>
      <c r="AZ105" s="2147"/>
      <c r="BA105" s="2147"/>
      <c r="BB105" s="2147"/>
      <c r="BC105" s="2147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364"/>
      <c r="BO105" s="364"/>
      <c r="BP105" s="607"/>
      <c r="BQ105" s="364"/>
      <c r="BR105" s="364"/>
      <c r="BS105" s="364"/>
      <c r="BT105" s="364"/>
      <c r="BU105" s="364"/>
      <c r="BV105" s="364"/>
      <c r="BW105" s="364"/>
      <c r="BX105" s="365"/>
      <c r="BY105" s="365"/>
      <c r="BZ105" s="365"/>
      <c r="CA105" s="244"/>
      <c r="CB105" s="365"/>
      <c r="CC105" s="365"/>
      <c r="CD105" s="365"/>
      <c r="CE105" s="365"/>
      <c r="CF105" s="369"/>
      <c r="CH105" s="1312"/>
      <c r="CI105" s="1312"/>
      <c r="CJ105" s="1312"/>
      <c r="CK105" s="1313"/>
      <c r="CL105" s="1315"/>
      <c r="CM105" s="1315"/>
      <c r="CN105" s="1315"/>
      <c r="CO105" s="1315"/>
      <c r="CP105" s="1312"/>
      <c r="CQ105" s="1312"/>
      <c r="CR105" s="1312"/>
      <c r="CS105" s="1313"/>
      <c r="CT105" s="1315"/>
      <c r="CU105" s="602"/>
    </row>
    <row r="106" spans="1:99" ht="30" hidden="1" customHeight="1" outlineLevel="1">
      <c r="A106" s="1429" t="s">
        <v>95</v>
      </c>
      <c r="B106" s="1433"/>
      <c r="C106" s="1433"/>
      <c r="D106" s="1432"/>
      <c r="E106" s="1432"/>
      <c r="F106" s="1433"/>
      <c r="G106" s="1502"/>
      <c r="H106" s="1502"/>
      <c r="I106" s="1502"/>
      <c r="J106" s="1502"/>
      <c r="K106" s="1503"/>
      <c r="L106" s="1504"/>
      <c r="M106" s="1505"/>
      <c r="N106" s="1451"/>
      <c r="O106" s="1441"/>
      <c r="P106" s="1441"/>
      <c r="Q106" s="1441"/>
      <c r="R106" s="1439"/>
      <c r="S106" s="1506"/>
      <c r="T106" s="1441"/>
      <c r="U106" s="1441"/>
      <c r="V106" s="1441"/>
      <c r="W106" s="1441"/>
      <c r="X106" s="1506"/>
      <c r="Y106" s="1441"/>
      <c r="Z106" s="1441"/>
      <c r="AA106" s="1441"/>
      <c r="AB106" s="1443"/>
      <c r="AC106" s="1507"/>
      <c r="AD106" s="1508"/>
      <c r="AE106" s="1508"/>
      <c r="AF106" s="1445"/>
      <c r="AG106" s="1446"/>
      <c r="AH106" s="1509"/>
      <c r="AI106" s="1510"/>
      <c r="AJ106" s="1510"/>
      <c r="AK106" s="1445"/>
      <c r="AL106" s="1446"/>
      <c r="AM106" s="1449"/>
      <c r="AN106" s="1445"/>
      <c r="AO106" s="1511"/>
      <c r="AP106" s="1445"/>
      <c r="AQ106" s="1502"/>
      <c r="AR106" s="1433"/>
      <c r="AS106" s="1433"/>
      <c r="AT106" s="1451"/>
      <c r="AU106" s="1451"/>
      <c r="AV106" s="1512"/>
      <c r="AW106" s="1513"/>
      <c r="AX106" s="1454" t="str">
        <f>IF(AN106&lt;1,"-",AN106-BR106)</f>
        <v>-</v>
      </c>
      <c r="AY106" s="1455" t="str">
        <f>IF(AX106="-","-",($B$2-AM106+1)*AX106)</f>
        <v>-</v>
      </c>
      <c r="AZ106" s="1455" t="str">
        <f>IF(AX106="-","-",AX106-H106)</f>
        <v>-</v>
      </c>
      <c r="BA106" s="1456" t="str">
        <f>IF(AX106="-","-",AX106/(G106*0.9))</f>
        <v>-</v>
      </c>
      <c r="BB106" s="1457"/>
      <c r="BC106" s="1514"/>
      <c r="BD106" s="1515"/>
      <c r="BE106" s="1516"/>
      <c r="BF106" s="1517">
        <v>12</v>
      </c>
      <c r="BG106" s="1462">
        <v>23</v>
      </c>
      <c r="BH106" s="1517">
        <v>40</v>
      </c>
      <c r="BI106" s="1518">
        <v>860</v>
      </c>
      <c r="BJ106" s="1518"/>
      <c r="BK106" s="1518">
        <v>50</v>
      </c>
      <c r="BL106" s="1462">
        <f t="shared" ref="BL106:BM108" si="46">IF(BF106=0,"-",BF106-AN106)</f>
        <v>12</v>
      </c>
      <c r="BM106" s="1462">
        <f t="shared" si="46"/>
        <v>23</v>
      </c>
      <c r="BN106" s="1461" t="e">
        <f>IF(BL106="-","-",AX106+BL106)</f>
        <v>#VALUE!</v>
      </c>
      <c r="BO106" s="1463" t="e">
        <f>IF(BL106="-","-",(($B$2-AM106+1)*(AX106+BL106)))</f>
        <v>#VALUE!</v>
      </c>
      <c r="BP106" s="1464">
        <f t="shared" ref="BP106:BP119" si="47">AC106</f>
        <v>0</v>
      </c>
      <c r="BQ106" s="1465">
        <f t="shared" ref="BQ106:BQ112" si="48">IF(AM106&gt;1,(BS106-BP106)*BR106,IF(BS106&lt;1,"",(($BS$7-BP106+1)*BR106)))</f>
        <v>0</v>
      </c>
      <c r="BR106" s="1466"/>
      <c r="BS106" s="1467" t="str">
        <f t="shared" ref="BS106:BS112" si="49">IF(AM106&lt;1,"",(AM106))</f>
        <v/>
      </c>
      <c r="BT106" s="1468">
        <f t="shared" ref="BT106:BT119" si="50">S106</f>
        <v>0</v>
      </c>
      <c r="BU106" s="1519">
        <f t="shared" ref="BU106:BU119" si="51">AG106</f>
        <v>0</v>
      </c>
      <c r="BV106" s="1519"/>
      <c r="BW106" s="1469"/>
      <c r="BX106" s="1470"/>
      <c r="BY106" s="1471"/>
      <c r="BZ106" s="190"/>
      <c r="CA106" s="1472"/>
      <c r="CB106" s="1520"/>
      <c r="CC106" s="1521"/>
      <c r="CD106" s="1521"/>
      <c r="CE106" s="1522"/>
      <c r="CF106" s="1523" t="s">
        <v>125</v>
      </c>
      <c r="CH106" s="1312"/>
      <c r="CI106" s="1312"/>
      <c r="CJ106" s="1312"/>
      <c r="CK106" s="1313"/>
      <c r="CL106" s="1315"/>
      <c r="CM106" s="1315"/>
      <c r="CN106" s="1315"/>
      <c r="CO106" s="1315"/>
      <c r="CP106" s="1312"/>
      <c r="CQ106" s="1312"/>
      <c r="CR106" s="1312"/>
      <c r="CS106" s="1313"/>
      <c r="CT106" s="1315"/>
      <c r="CU106" s="602"/>
    </row>
    <row r="107" spans="1:99" ht="30" hidden="1" customHeight="1" outlineLevel="1">
      <c r="A107" s="1429" t="s">
        <v>95</v>
      </c>
      <c r="B107" s="1433"/>
      <c r="C107" s="1433"/>
      <c r="D107" s="1432"/>
      <c r="E107" s="1432"/>
      <c r="F107" s="1433"/>
      <c r="G107" s="1502"/>
      <c r="H107" s="1502"/>
      <c r="I107" s="1502"/>
      <c r="J107" s="1502"/>
      <c r="K107" s="1503"/>
      <c r="L107" s="1504"/>
      <c r="M107" s="1505"/>
      <c r="N107" s="1451"/>
      <c r="O107" s="1441"/>
      <c r="P107" s="1441"/>
      <c r="Q107" s="1441"/>
      <c r="R107" s="1439"/>
      <c r="S107" s="1506"/>
      <c r="T107" s="1441"/>
      <c r="U107" s="1441"/>
      <c r="V107" s="1441"/>
      <c r="W107" s="1441"/>
      <c r="X107" s="1506"/>
      <c r="Y107" s="1441"/>
      <c r="Z107" s="1441"/>
      <c r="AA107" s="1441"/>
      <c r="AB107" s="1443"/>
      <c r="AC107" s="1507"/>
      <c r="AD107" s="1508"/>
      <c r="AE107" s="1508"/>
      <c r="AF107" s="1445"/>
      <c r="AG107" s="1446"/>
      <c r="AH107" s="1509"/>
      <c r="AI107" s="1510"/>
      <c r="AJ107" s="1510"/>
      <c r="AK107" s="1445"/>
      <c r="AL107" s="1446"/>
      <c r="AM107" s="1449"/>
      <c r="AN107" s="1445"/>
      <c r="AO107" s="1511"/>
      <c r="AP107" s="1445"/>
      <c r="AQ107" s="1502"/>
      <c r="AR107" s="1433"/>
      <c r="AS107" s="1433"/>
      <c r="AT107" s="1451"/>
      <c r="AU107" s="1451"/>
      <c r="AV107" s="1512"/>
      <c r="AW107" s="1513"/>
      <c r="AX107" s="1454" t="str">
        <f>IF(AN107&lt;1,"-",AN107-BR107)</f>
        <v>-</v>
      </c>
      <c r="AY107" s="1455" t="str">
        <f>IF(AX107="-","-",($B$2-AM107+1)*AX107)</f>
        <v>-</v>
      </c>
      <c r="AZ107" s="1455" t="str">
        <f>IF(AX107="-","-",AX107-H107)</f>
        <v>-</v>
      </c>
      <c r="BA107" s="1456" t="str">
        <f>IF(AX107="-","-",AX107/(G107*0.9))</f>
        <v>-</v>
      </c>
      <c r="BB107" s="1457"/>
      <c r="BC107" s="1514"/>
      <c r="BD107" s="1515"/>
      <c r="BE107" s="1524" t="s">
        <v>235</v>
      </c>
      <c r="BF107" s="1517">
        <v>34.200000000000003</v>
      </c>
      <c r="BG107" s="1462">
        <v>42</v>
      </c>
      <c r="BH107" s="1517">
        <v>6</v>
      </c>
      <c r="BI107" s="1518">
        <v>2245</v>
      </c>
      <c r="BJ107" s="1518"/>
      <c r="BK107" s="1518">
        <v>50</v>
      </c>
      <c r="BL107" s="1462">
        <f t="shared" si="46"/>
        <v>34.200000000000003</v>
      </c>
      <c r="BM107" s="1462">
        <f t="shared" si="46"/>
        <v>42</v>
      </c>
      <c r="BN107" s="1461" t="e">
        <f>IF(BL107="-","-",AX107+BL107)</f>
        <v>#VALUE!</v>
      </c>
      <c r="BO107" s="1463" t="e">
        <f>IF(BL107="-","-",(($B$2-AM107+1)*(AX107+BL107)))</f>
        <v>#VALUE!</v>
      </c>
      <c r="BP107" s="1464">
        <f t="shared" si="47"/>
        <v>0</v>
      </c>
      <c r="BQ107" s="1465">
        <f>IF(AM107&gt;1,(BS107-BP107)*BR107,IF(BS107&lt;1,"",(($BS$7-BP107+1)*BR107)))</f>
        <v>0</v>
      </c>
      <c r="BR107" s="1466"/>
      <c r="BS107" s="1467" t="str">
        <f t="shared" si="49"/>
        <v/>
      </c>
      <c r="BT107" s="1468">
        <f t="shared" si="50"/>
        <v>0</v>
      </c>
      <c r="BU107" s="1519">
        <f t="shared" si="51"/>
        <v>0</v>
      </c>
      <c r="BV107" s="1519"/>
      <c r="BW107" s="1469"/>
      <c r="BX107" s="1470"/>
      <c r="BY107" s="1471"/>
      <c r="BZ107" s="190"/>
      <c r="CA107" s="1472"/>
      <c r="CB107" s="1520"/>
      <c r="CC107" s="1521"/>
      <c r="CD107" s="1521"/>
      <c r="CE107" s="1522"/>
      <c r="CF107" s="1523" t="s">
        <v>125</v>
      </c>
      <c r="CH107" s="1312"/>
      <c r="CI107" s="1312"/>
      <c r="CJ107" s="1312"/>
      <c r="CK107" s="1313"/>
      <c r="CL107" s="1315"/>
      <c r="CM107" s="1315"/>
      <c r="CN107" s="1315"/>
      <c r="CO107" s="1315"/>
      <c r="CP107" s="1312"/>
      <c r="CQ107" s="1312"/>
      <c r="CR107" s="1312"/>
      <c r="CS107" s="1313"/>
      <c r="CT107" s="1315"/>
      <c r="CU107" s="602"/>
    </row>
    <row r="108" spans="1:99" ht="30" hidden="1" customHeight="1" outlineLevel="1">
      <c r="A108" s="1429" t="s">
        <v>95</v>
      </c>
      <c r="B108" s="1433"/>
      <c r="C108" s="1433"/>
      <c r="D108" s="1432"/>
      <c r="E108" s="1432"/>
      <c r="F108" s="1433"/>
      <c r="G108" s="1502"/>
      <c r="H108" s="1502"/>
      <c r="I108" s="1502"/>
      <c r="J108" s="1502"/>
      <c r="K108" s="1503"/>
      <c r="L108" s="1504"/>
      <c r="M108" s="1505"/>
      <c r="N108" s="1451"/>
      <c r="O108" s="1441"/>
      <c r="P108" s="1441"/>
      <c r="Q108" s="1441"/>
      <c r="R108" s="1439"/>
      <c r="S108" s="1506"/>
      <c r="T108" s="1441"/>
      <c r="U108" s="1441"/>
      <c r="V108" s="1441"/>
      <c r="W108" s="1441"/>
      <c r="X108" s="1506"/>
      <c r="Y108" s="1441"/>
      <c r="Z108" s="1441"/>
      <c r="AA108" s="1441"/>
      <c r="AB108" s="1443"/>
      <c r="AC108" s="1507"/>
      <c r="AD108" s="1508"/>
      <c r="AE108" s="1508"/>
      <c r="AF108" s="1445"/>
      <c r="AG108" s="1446"/>
      <c r="AH108" s="1509"/>
      <c r="AI108" s="1510"/>
      <c r="AJ108" s="1510"/>
      <c r="AK108" s="1445"/>
      <c r="AL108" s="1446"/>
      <c r="AM108" s="1449"/>
      <c r="AN108" s="1445"/>
      <c r="AO108" s="1511"/>
      <c r="AP108" s="1445"/>
      <c r="AQ108" s="1502"/>
      <c r="AR108" s="1433"/>
      <c r="AS108" s="1433"/>
      <c r="AT108" s="1451"/>
      <c r="AU108" s="1451"/>
      <c r="AV108" s="1512"/>
      <c r="AW108" s="1513"/>
      <c r="AX108" s="1454" t="str">
        <f>IF(AN108&lt;1,"-",AN108-BR108)</f>
        <v>-</v>
      </c>
      <c r="AY108" s="1455" t="str">
        <f>IF(AX108="-","-",($B$2-AM108+1)*AX108)</f>
        <v>-</v>
      </c>
      <c r="AZ108" s="1455" t="str">
        <f>IF(AX108="-","-",AX108-H108)</f>
        <v>-</v>
      </c>
      <c r="BA108" s="1456" t="str">
        <f>IF(AX108="-","-",AX108/(G108*0.9))</f>
        <v>-</v>
      </c>
      <c r="BB108" s="1457"/>
      <c r="BC108" s="1514"/>
      <c r="BD108" s="1515"/>
      <c r="BE108" s="1524" t="s">
        <v>236</v>
      </c>
      <c r="BF108" s="1517">
        <v>37</v>
      </c>
      <c r="BG108" s="1462">
        <v>46</v>
      </c>
      <c r="BH108" s="1517">
        <v>7</v>
      </c>
      <c r="BI108" s="1518">
        <v>1958</v>
      </c>
      <c r="BJ108" s="1518"/>
      <c r="BK108" s="1518">
        <v>50</v>
      </c>
      <c r="BL108" s="1462">
        <f t="shared" si="46"/>
        <v>37</v>
      </c>
      <c r="BM108" s="1462">
        <f t="shared" si="46"/>
        <v>46</v>
      </c>
      <c r="BN108" s="1461" t="e">
        <f>IF(BL108="-","-",AX108+BL108)</f>
        <v>#VALUE!</v>
      </c>
      <c r="BO108" s="1463" t="e">
        <f>IF(BL108="-","-",(($B$2-AM108+1)*(AX108+BL108)))</f>
        <v>#VALUE!</v>
      </c>
      <c r="BP108" s="1464">
        <f t="shared" si="47"/>
        <v>0</v>
      </c>
      <c r="BQ108" s="1465">
        <f t="shared" si="48"/>
        <v>0</v>
      </c>
      <c r="BR108" s="1466"/>
      <c r="BS108" s="1467" t="str">
        <f t="shared" si="49"/>
        <v/>
      </c>
      <c r="BT108" s="1468">
        <f t="shared" si="50"/>
        <v>0</v>
      </c>
      <c r="BU108" s="1519">
        <f t="shared" si="51"/>
        <v>0</v>
      </c>
      <c r="BV108" s="1519"/>
      <c r="BW108" s="1469"/>
      <c r="BX108" s="1470"/>
      <c r="BY108" s="1471"/>
      <c r="BZ108" s="190"/>
      <c r="CA108" s="1472"/>
      <c r="CB108" s="1520"/>
      <c r="CC108" s="1521"/>
      <c r="CD108" s="1521"/>
      <c r="CE108" s="1522"/>
      <c r="CF108" s="1523" t="s">
        <v>125</v>
      </c>
      <c r="CH108" s="1312"/>
      <c r="CI108" s="1312"/>
      <c r="CJ108" s="1312"/>
      <c r="CK108" s="1313"/>
      <c r="CL108" s="1315"/>
      <c r="CM108" s="1315"/>
      <c r="CN108" s="1315"/>
      <c r="CO108" s="1315"/>
      <c r="CP108" s="1312"/>
      <c r="CQ108" s="1312"/>
      <c r="CR108" s="1312"/>
      <c r="CS108" s="1313"/>
      <c r="CT108" s="1315"/>
      <c r="CU108" s="602"/>
    </row>
    <row r="109" spans="1:99" ht="30" hidden="1" customHeight="1" outlineLevel="1">
      <c r="A109" s="1525" t="s">
        <v>95</v>
      </c>
      <c r="B109" s="1526"/>
      <c r="C109" s="1526"/>
      <c r="D109" s="1527"/>
      <c r="E109" s="1527"/>
      <c r="F109" s="1526"/>
      <c r="G109" s="1528"/>
      <c r="H109" s="1528"/>
      <c r="I109" s="1528"/>
      <c r="J109" s="1528"/>
      <c r="K109" s="1529"/>
      <c r="L109" s="1530"/>
      <c r="M109" s="1531"/>
      <c r="N109" s="1531"/>
      <c r="O109" s="1532"/>
      <c r="P109" s="1532"/>
      <c r="Q109" s="1532"/>
      <c r="R109" s="1533"/>
      <c r="S109" s="1534"/>
      <c r="T109" s="1532"/>
      <c r="U109" s="1532"/>
      <c r="V109" s="1532"/>
      <c r="W109" s="1532"/>
      <c r="X109" s="1534"/>
      <c r="Y109" s="1532"/>
      <c r="Z109" s="1532"/>
      <c r="AA109" s="1532"/>
      <c r="AB109" s="1535"/>
      <c r="AC109" s="1536"/>
      <c r="AD109" s="1537"/>
      <c r="AE109" s="1538"/>
      <c r="AF109" s="1539"/>
      <c r="AG109" s="1540"/>
      <c r="AH109" s="1536"/>
      <c r="AI109" s="1541"/>
      <c r="AJ109" s="1542"/>
      <c r="AK109" s="1539"/>
      <c r="AL109" s="1540"/>
      <c r="AM109" s="1543"/>
      <c r="AN109" s="1544"/>
      <c r="AO109" s="1545"/>
      <c r="AP109" s="1539"/>
      <c r="AQ109" s="1546"/>
      <c r="AR109" s="1526"/>
      <c r="AS109" s="1526"/>
      <c r="AT109" s="1526"/>
      <c r="AU109" s="1531"/>
      <c r="AV109" s="1547"/>
      <c r="AW109" s="1548"/>
      <c r="AX109" s="1549"/>
      <c r="AY109" s="1534"/>
      <c r="AZ109" s="1550"/>
      <c r="BA109" s="1551"/>
      <c r="BB109" s="1552"/>
      <c r="BC109" s="1553"/>
      <c r="BD109" s="1554"/>
      <c r="BE109" s="1555" t="s">
        <v>237</v>
      </c>
      <c r="BF109" s="1556"/>
      <c r="BG109" s="1556"/>
      <c r="BH109" s="1556"/>
      <c r="BI109" s="1556"/>
      <c r="BJ109" s="1556"/>
      <c r="BK109" s="1556"/>
      <c r="BL109" s="1556"/>
      <c r="BM109" s="1557"/>
      <c r="BN109" s="1557"/>
      <c r="BO109" s="1558"/>
      <c r="BP109" s="1559">
        <f t="shared" si="47"/>
        <v>0</v>
      </c>
      <c r="BQ109" s="1560">
        <f t="shared" si="48"/>
        <v>0</v>
      </c>
      <c r="BR109" s="1561"/>
      <c r="BS109" s="1562" t="str">
        <f t="shared" si="49"/>
        <v/>
      </c>
      <c r="BT109" s="1563">
        <f t="shared" si="50"/>
        <v>0</v>
      </c>
      <c r="BU109" s="1564">
        <f t="shared" si="51"/>
        <v>0</v>
      </c>
      <c r="BV109" s="1564"/>
      <c r="BW109" s="1565"/>
      <c r="BX109" s="1566"/>
      <c r="BY109" s="681"/>
      <c r="BZ109" s="165"/>
      <c r="CA109" s="1567"/>
      <c r="CB109" s="1568"/>
      <c r="CC109" s="950"/>
      <c r="CD109" s="951"/>
      <c r="CE109" s="1569"/>
      <c r="CF109" s="1570" t="s">
        <v>125</v>
      </c>
      <c r="CH109" s="1312"/>
      <c r="CI109" s="1312"/>
      <c r="CJ109" s="1312"/>
      <c r="CK109" s="1313"/>
      <c r="CL109" s="1315"/>
      <c r="CM109" s="1315"/>
      <c r="CN109" s="1315"/>
      <c r="CO109" s="1315"/>
      <c r="CP109" s="1312"/>
      <c r="CQ109" s="1312"/>
      <c r="CR109" s="1312"/>
      <c r="CS109" s="1313"/>
      <c r="CT109" s="1315"/>
      <c r="CU109" s="602"/>
    </row>
    <row r="110" spans="1:99" ht="30" hidden="1" customHeight="1" outlineLevel="1">
      <c r="A110" s="1571" t="s">
        <v>95</v>
      </c>
      <c r="B110" s="396"/>
      <c r="C110" s="396"/>
      <c r="D110" s="768"/>
      <c r="E110" s="768"/>
      <c r="F110" s="396"/>
      <c r="G110" s="399"/>
      <c r="H110" s="399"/>
      <c r="I110" s="399"/>
      <c r="J110" s="399"/>
      <c r="K110" s="400"/>
      <c r="L110" s="1572"/>
      <c r="M110" s="402"/>
      <c r="N110" s="402"/>
      <c r="O110" s="403"/>
      <c r="P110" s="403"/>
      <c r="Q110" s="403"/>
      <c r="R110" s="404"/>
      <c r="S110" s="417"/>
      <c r="T110" s="403"/>
      <c r="U110" s="403"/>
      <c r="V110" s="403"/>
      <c r="W110" s="403"/>
      <c r="X110" s="417"/>
      <c r="Y110" s="403"/>
      <c r="Z110" s="403"/>
      <c r="AA110" s="403"/>
      <c r="AB110" s="774"/>
      <c r="AC110" s="1573"/>
      <c r="AD110" s="1574"/>
      <c r="AE110" s="1574"/>
      <c r="AF110" s="408"/>
      <c r="AG110" s="409"/>
      <c r="AH110" s="1575"/>
      <c r="AI110" s="410"/>
      <c r="AJ110" s="1575"/>
      <c r="AK110" s="408"/>
      <c r="AL110" s="409"/>
      <c r="AM110" s="411"/>
      <c r="AN110" s="408"/>
      <c r="AO110" s="412"/>
      <c r="AP110" s="408"/>
      <c r="AQ110" s="769"/>
      <c r="AR110" s="396"/>
      <c r="AS110" s="396"/>
      <c r="AT110" s="396"/>
      <c r="AU110" s="446"/>
      <c r="AV110" s="780"/>
      <c r="AW110" s="1576"/>
      <c r="AX110" s="781"/>
      <c r="AY110" s="398"/>
      <c r="AZ110" s="791"/>
      <c r="BA110" s="1577"/>
      <c r="BB110" s="1578"/>
      <c r="BC110" s="753"/>
      <c r="BD110" s="766"/>
      <c r="BE110" s="755"/>
      <c r="BF110" s="423"/>
      <c r="BG110" s="754"/>
      <c r="BH110" s="423"/>
      <c r="BI110" s="755"/>
      <c r="BJ110" s="755"/>
      <c r="BK110" s="755"/>
      <c r="BL110" s="754"/>
      <c r="BM110" s="763"/>
      <c r="BN110" s="763"/>
      <c r="BO110" s="1494"/>
      <c r="BP110" s="1495">
        <f t="shared" si="47"/>
        <v>0</v>
      </c>
      <c r="BQ110" s="428">
        <f t="shared" si="48"/>
        <v>0</v>
      </c>
      <c r="BR110" s="429"/>
      <c r="BS110" s="430" t="str">
        <f t="shared" si="49"/>
        <v/>
      </c>
      <c r="BT110" s="1579">
        <f t="shared" si="50"/>
        <v>0</v>
      </c>
      <c r="BU110" s="432">
        <f t="shared" si="51"/>
        <v>0</v>
      </c>
      <c r="BV110" s="432"/>
      <c r="BW110" s="433"/>
      <c r="BX110" s="434"/>
      <c r="BY110" s="435"/>
      <c r="BZ110" s="1580"/>
      <c r="CA110" s="437"/>
      <c r="CB110" s="757"/>
      <c r="CC110" s="758"/>
      <c r="CD110" s="758"/>
      <c r="CE110" s="759"/>
      <c r="CF110" s="760" t="s">
        <v>125</v>
      </c>
      <c r="CH110" s="1312"/>
      <c r="CI110" s="1312"/>
      <c r="CJ110" s="1312"/>
      <c r="CK110" s="1313"/>
      <c r="CL110" s="1315"/>
      <c r="CM110" s="1315"/>
      <c r="CN110" s="1315"/>
      <c r="CO110" s="1315"/>
      <c r="CP110" s="1312"/>
      <c r="CQ110" s="1312"/>
      <c r="CR110" s="1312"/>
      <c r="CS110" s="1313"/>
      <c r="CT110" s="1315"/>
      <c r="CU110" s="602"/>
    </row>
    <row r="111" spans="1:99" ht="30" hidden="1" customHeight="1" outlineLevel="1">
      <c r="A111" s="1571" t="s">
        <v>95</v>
      </c>
      <c r="B111" s="396"/>
      <c r="C111" s="396"/>
      <c r="D111" s="768"/>
      <c r="E111" s="768"/>
      <c r="F111" s="396"/>
      <c r="G111" s="399"/>
      <c r="H111" s="1496"/>
      <c r="I111" s="399"/>
      <c r="J111" s="399"/>
      <c r="K111" s="400"/>
      <c r="L111" s="1572"/>
      <c r="M111" s="402"/>
      <c r="N111" s="402"/>
      <c r="O111" s="1581"/>
      <c r="P111" s="403"/>
      <c r="Q111" s="403"/>
      <c r="R111" s="404"/>
      <c r="S111" s="398"/>
      <c r="T111" s="403"/>
      <c r="U111" s="403"/>
      <c r="V111" s="403"/>
      <c r="W111" s="403"/>
      <c r="X111" s="398"/>
      <c r="Y111" s="403"/>
      <c r="Z111" s="403"/>
      <c r="AA111" s="403"/>
      <c r="AB111" s="774"/>
      <c r="AC111" s="1573"/>
      <c r="AD111" s="1582"/>
      <c r="AE111" s="1582"/>
      <c r="AF111" s="408"/>
      <c r="AG111" s="409"/>
      <c r="AH111" s="775"/>
      <c r="AI111" s="776"/>
      <c r="AJ111" s="410"/>
      <c r="AK111" s="408"/>
      <c r="AL111" s="409"/>
      <c r="AM111" s="411"/>
      <c r="AN111" s="408"/>
      <c r="AO111" s="412"/>
      <c r="AP111" s="408"/>
      <c r="AQ111" s="399"/>
      <c r="AR111" s="396"/>
      <c r="AS111" s="396"/>
      <c r="AT111" s="396"/>
      <c r="AU111" s="446"/>
      <c r="AV111" s="780"/>
      <c r="AW111" s="1576"/>
      <c r="AX111" s="781"/>
      <c r="AY111" s="398"/>
      <c r="AZ111" s="398"/>
      <c r="BA111" s="398"/>
      <c r="BB111" s="782"/>
      <c r="BC111" s="753"/>
      <c r="BD111" s="766"/>
      <c r="BE111" s="1583" t="s">
        <v>238</v>
      </c>
      <c r="BF111" s="423"/>
      <c r="BG111" s="754"/>
      <c r="BH111" s="423"/>
      <c r="BI111" s="755"/>
      <c r="BJ111" s="755"/>
      <c r="BK111" s="755"/>
      <c r="BL111" s="754"/>
      <c r="BM111" s="763"/>
      <c r="BN111" s="763"/>
      <c r="BO111" s="1494"/>
      <c r="BP111" s="1495">
        <f t="shared" si="47"/>
        <v>0</v>
      </c>
      <c r="BQ111" s="428">
        <f t="shared" si="48"/>
        <v>0</v>
      </c>
      <c r="BR111" s="429"/>
      <c r="BS111" s="430" t="str">
        <f t="shared" si="49"/>
        <v/>
      </c>
      <c r="BT111" s="427">
        <f t="shared" si="50"/>
        <v>0</v>
      </c>
      <c r="BU111" s="428">
        <f t="shared" si="51"/>
        <v>0</v>
      </c>
      <c r="BV111" s="428"/>
      <c r="BW111" s="433"/>
      <c r="BX111" s="434"/>
      <c r="BY111" s="435"/>
      <c r="BZ111" s="436"/>
      <c r="CA111" s="437"/>
      <c r="CB111" s="757"/>
      <c r="CC111" s="758"/>
      <c r="CD111" s="758"/>
      <c r="CE111" s="759"/>
      <c r="CF111" s="760" t="s">
        <v>125</v>
      </c>
      <c r="CH111" s="1312"/>
      <c r="CI111" s="1312"/>
      <c r="CJ111" s="1312"/>
      <c r="CK111" s="1313"/>
      <c r="CL111" s="1315"/>
      <c r="CM111" s="1315"/>
      <c r="CN111" s="1315"/>
      <c r="CO111" s="1315"/>
      <c r="CP111" s="1312"/>
      <c r="CQ111" s="1312"/>
      <c r="CR111" s="1312"/>
      <c r="CS111" s="1313"/>
      <c r="CT111" s="1315"/>
      <c r="CU111" s="602"/>
    </row>
    <row r="112" spans="1:99" ht="30" hidden="1" customHeight="1" outlineLevel="1">
      <c r="A112" s="1571" t="s">
        <v>95</v>
      </c>
      <c r="B112" s="396"/>
      <c r="C112" s="396"/>
      <c r="D112" s="768"/>
      <c r="E112" s="768"/>
      <c r="F112" s="396"/>
      <c r="G112" s="399"/>
      <c r="H112" s="399"/>
      <c r="I112" s="399"/>
      <c r="J112" s="399"/>
      <c r="K112" s="400"/>
      <c r="L112" s="1572"/>
      <c r="M112" s="402"/>
      <c r="N112" s="402"/>
      <c r="O112" s="1581"/>
      <c r="P112" s="403"/>
      <c r="Q112" s="403"/>
      <c r="R112" s="404"/>
      <c r="S112" s="398"/>
      <c r="T112" s="403"/>
      <c r="U112" s="403"/>
      <c r="V112" s="403"/>
      <c r="W112" s="403"/>
      <c r="X112" s="398"/>
      <c r="Y112" s="403"/>
      <c r="Z112" s="403"/>
      <c r="AA112" s="403"/>
      <c r="AB112" s="774"/>
      <c r="AC112" s="822"/>
      <c r="AD112" s="407"/>
      <c r="AE112" s="407"/>
      <c r="AF112" s="408"/>
      <c r="AG112" s="409"/>
      <c r="AH112" s="775"/>
      <c r="AI112" s="776"/>
      <c r="AJ112" s="410"/>
      <c r="AK112" s="408"/>
      <c r="AL112" s="409"/>
      <c r="AM112" s="411"/>
      <c r="AN112" s="408"/>
      <c r="AO112" s="412"/>
      <c r="AP112" s="408"/>
      <c r="AQ112" s="399"/>
      <c r="AR112" s="396"/>
      <c r="AS112" s="396"/>
      <c r="AT112" s="396"/>
      <c r="AU112" s="446"/>
      <c r="AV112" s="780"/>
      <c r="AW112" s="1576"/>
      <c r="AX112" s="781"/>
      <c r="AY112" s="398"/>
      <c r="AZ112" s="398"/>
      <c r="BA112" s="398"/>
      <c r="BB112" s="782"/>
      <c r="BC112" s="753"/>
      <c r="BD112" s="766"/>
      <c r="BE112" s="1584" t="s">
        <v>236</v>
      </c>
      <c r="BF112" s="423"/>
      <c r="BG112" s="754"/>
      <c r="BH112" s="423"/>
      <c r="BI112" s="755"/>
      <c r="BJ112" s="755"/>
      <c r="BK112" s="755"/>
      <c r="BL112" s="754"/>
      <c r="BM112" s="763"/>
      <c r="BN112" s="763"/>
      <c r="BO112" s="1494"/>
      <c r="BP112" s="1495">
        <f t="shared" si="47"/>
        <v>0</v>
      </c>
      <c r="BQ112" s="428">
        <f t="shared" si="48"/>
        <v>0</v>
      </c>
      <c r="BR112" s="429"/>
      <c r="BS112" s="430" t="str">
        <f t="shared" si="49"/>
        <v/>
      </c>
      <c r="BT112" s="1579">
        <f t="shared" si="50"/>
        <v>0</v>
      </c>
      <c r="BU112" s="432">
        <f t="shared" si="51"/>
        <v>0</v>
      </c>
      <c r="BV112" s="432"/>
      <c r="BW112" s="433"/>
      <c r="BX112" s="434"/>
      <c r="BY112" s="435"/>
      <c r="BZ112" s="1580"/>
      <c r="CA112" s="437"/>
      <c r="CB112" s="757"/>
      <c r="CC112" s="758"/>
      <c r="CD112" s="758"/>
      <c r="CE112" s="759"/>
      <c r="CF112" s="760" t="s">
        <v>125</v>
      </c>
      <c r="CH112" s="1312"/>
      <c r="CI112" s="1312"/>
      <c r="CJ112" s="1312"/>
      <c r="CK112" s="1313"/>
      <c r="CL112" s="1315"/>
      <c r="CM112" s="1315"/>
      <c r="CN112" s="1315"/>
      <c r="CO112" s="1315"/>
      <c r="CP112" s="1312"/>
      <c r="CQ112" s="1312"/>
      <c r="CR112" s="1312"/>
      <c r="CS112" s="1313"/>
      <c r="CT112" s="1315"/>
      <c r="CU112" s="602"/>
    </row>
    <row r="113" spans="1:99" ht="30" hidden="1" customHeight="1" outlineLevel="1">
      <c r="A113" s="831" t="s">
        <v>95</v>
      </c>
      <c r="B113" s="247"/>
      <c r="C113" s="247"/>
      <c r="D113" s="62"/>
      <c r="E113" s="62"/>
      <c r="F113" s="247"/>
      <c r="G113" s="80"/>
      <c r="H113" s="80"/>
      <c r="I113" s="80"/>
      <c r="J113" s="80"/>
      <c r="K113" s="271"/>
      <c r="L113" s="322"/>
      <c r="M113" s="68"/>
      <c r="N113" s="68"/>
      <c r="O113" s="70"/>
      <c r="P113" s="70"/>
      <c r="Q113" s="70"/>
      <c r="R113" s="249"/>
      <c r="S113" s="64"/>
      <c r="T113" s="70"/>
      <c r="U113" s="70"/>
      <c r="V113" s="70"/>
      <c r="W113" s="70"/>
      <c r="X113" s="64"/>
      <c r="Y113" s="70"/>
      <c r="Z113" s="70"/>
      <c r="AA113" s="70"/>
      <c r="AB113" s="274"/>
      <c r="AC113" s="73"/>
      <c r="AD113" s="275"/>
      <c r="AE113" s="275"/>
      <c r="AF113" s="74"/>
      <c r="AG113" s="75"/>
      <c r="AH113" s="724"/>
      <c r="AI113" s="288"/>
      <c r="AJ113" s="77"/>
      <c r="AK113" s="74"/>
      <c r="AL113" s="75"/>
      <c r="AM113" s="78"/>
      <c r="AN113" s="289"/>
      <c r="AO113" s="256"/>
      <c r="AP113" s="74"/>
      <c r="AQ113" s="271"/>
      <c r="AR113" s="247"/>
      <c r="AS113" s="247"/>
      <c r="AT113" s="247"/>
      <c r="AU113" s="317"/>
      <c r="AV113" s="387"/>
      <c r="AW113" s="843"/>
      <c r="AX113" s="84"/>
      <c r="AY113" s="64"/>
      <c r="AZ113" s="64"/>
      <c r="BA113" s="250"/>
      <c r="BB113" s="516"/>
      <c r="BC113" s="1484"/>
      <c r="BD113" s="703"/>
      <c r="BE113" s="513" t="s">
        <v>237</v>
      </c>
      <c r="BF113" s="91"/>
      <c r="BG113" s="91"/>
      <c r="BH113" s="91"/>
      <c r="BI113" s="91"/>
      <c r="BJ113" s="91"/>
      <c r="BK113" s="91"/>
      <c r="BL113" s="91"/>
      <c r="BM113" s="94"/>
      <c r="BN113" s="94"/>
      <c r="BO113" s="1319"/>
      <c r="BP113" s="1388">
        <f t="shared" si="47"/>
        <v>0</v>
      </c>
      <c r="BQ113" s="131"/>
      <c r="BR113" s="132"/>
      <c r="BS113" s="99"/>
      <c r="BT113" s="284">
        <f t="shared" si="50"/>
        <v>0</v>
      </c>
      <c r="BU113" s="214">
        <f t="shared" si="51"/>
        <v>0</v>
      </c>
      <c r="BV113" s="214"/>
      <c r="BW113" s="101"/>
      <c r="BX113" s="102"/>
      <c r="BY113" s="103"/>
      <c r="BZ113" s="104"/>
      <c r="CA113" s="105"/>
      <c r="CB113" s="718"/>
      <c r="CC113" s="719"/>
      <c r="CD113" s="859"/>
      <c r="CE113" s="720"/>
      <c r="CF113" s="721" t="s">
        <v>125</v>
      </c>
      <c r="CH113" s="1312"/>
      <c r="CI113" s="1312"/>
      <c r="CJ113" s="1312"/>
      <c r="CK113" s="1313"/>
      <c r="CL113" s="1315"/>
      <c r="CM113" s="1315"/>
      <c r="CN113" s="1315"/>
      <c r="CO113" s="1315"/>
      <c r="CP113" s="1312"/>
      <c r="CQ113" s="1312"/>
      <c r="CR113" s="1312"/>
      <c r="CS113" s="1313"/>
      <c r="CT113" s="1315"/>
      <c r="CU113" s="602"/>
    </row>
    <row r="114" spans="1:99" ht="30" hidden="1" customHeight="1" outlineLevel="1">
      <c r="A114" s="831" t="s">
        <v>95</v>
      </c>
      <c r="B114" s="247"/>
      <c r="C114" s="247"/>
      <c r="D114" s="62"/>
      <c r="E114" s="62"/>
      <c r="F114" s="247"/>
      <c r="G114" s="80"/>
      <c r="H114" s="80"/>
      <c r="I114" s="80"/>
      <c r="J114" s="80"/>
      <c r="K114" s="249"/>
      <c r="L114" s="857"/>
      <c r="M114" s="68"/>
      <c r="N114" s="68"/>
      <c r="O114" s="70"/>
      <c r="P114" s="70"/>
      <c r="Q114" s="70"/>
      <c r="R114" s="249"/>
      <c r="S114" s="250"/>
      <c r="T114" s="70"/>
      <c r="U114" s="70"/>
      <c r="V114" s="70"/>
      <c r="W114" s="70"/>
      <c r="X114" s="250"/>
      <c r="Y114" s="70"/>
      <c r="Z114" s="70"/>
      <c r="AA114" s="70"/>
      <c r="AB114" s="274"/>
      <c r="AC114" s="135"/>
      <c r="AD114" s="135"/>
      <c r="AE114" s="135"/>
      <c r="AF114" s="74"/>
      <c r="AG114" s="75"/>
      <c r="AH114" s="319"/>
      <c r="AI114" s="288"/>
      <c r="AJ114" s="77"/>
      <c r="AK114" s="74"/>
      <c r="AL114" s="75"/>
      <c r="AM114" s="78"/>
      <c r="AN114" s="74"/>
      <c r="AO114" s="256"/>
      <c r="AP114" s="74"/>
      <c r="AQ114" s="80"/>
      <c r="AR114" s="247"/>
      <c r="AS114" s="247"/>
      <c r="AT114" s="247"/>
      <c r="AU114" s="317"/>
      <c r="AV114" s="387"/>
      <c r="AW114" s="843"/>
      <c r="AX114" s="84"/>
      <c r="AY114" s="64"/>
      <c r="AZ114" s="64"/>
      <c r="BA114" s="64"/>
      <c r="BB114" s="516"/>
      <c r="BC114" s="933"/>
      <c r="BD114" s="703"/>
      <c r="BE114" s="513" t="s">
        <v>235</v>
      </c>
      <c r="BF114" s="93"/>
      <c r="BG114" s="91"/>
      <c r="BH114" s="93"/>
      <c r="BI114" s="748"/>
      <c r="BJ114" s="748"/>
      <c r="BK114" s="748"/>
      <c r="BL114" s="91"/>
      <c r="BM114" s="94"/>
      <c r="BN114" s="94"/>
      <c r="BO114" s="1319"/>
      <c r="BP114" s="1388">
        <f t="shared" si="47"/>
        <v>0</v>
      </c>
      <c r="BQ114" s="131"/>
      <c r="BR114" s="132"/>
      <c r="BS114" s="99"/>
      <c r="BT114" s="385">
        <f t="shared" si="50"/>
        <v>0</v>
      </c>
      <c r="BU114" s="214">
        <f t="shared" si="51"/>
        <v>0</v>
      </c>
      <c r="BV114" s="214"/>
      <c r="BW114" s="101"/>
      <c r="BX114" s="102"/>
      <c r="BY114" s="103"/>
      <c r="BZ114" s="125"/>
      <c r="CA114" s="105"/>
      <c r="CB114" s="718"/>
      <c r="CC114" s="719"/>
      <c r="CD114" s="719"/>
      <c r="CE114" s="720"/>
      <c r="CF114" s="721" t="s">
        <v>125</v>
      </c>
      <c r="CH114" s="1312"/>
      <c r="CI114" s="1312"/>
      <c r="CJ114" s="1312"/>
      <c r="CK114" s="1313"/>
      <c r="CL114" s="1315"/>
      <c r="CM114" s="1315"/>
      <c r="CN114" s="1315"/>
      <c r="CO114" s="1315"/>
      <c r="CP114" s="1312"/>
      <c r="CQ114" s="1312"/>
      <c r="CR114" s="1312"/>
      <c r="CS114" s="1313"/>
      <c r="CT114" s="1315"/>
      <c r="CU114" s="602"/>
    </row>
    <row r="115" spans="1:99" ht="30" hidden="1" customHeight="1" outlineLevel="1">
      <c r="A115" s="831" t="s">
        <v>95</v>
      </c>
      <c r="B115" s="247"/>
      <c r="C115" s="247"/>
      <c r="D115" s="62"/>
      <c r="E115" s="62"/>
      <c r="F115" s="247"/>
      <c r="G115" s="80"/>
      <c r="H115" s="80"/>
      <c r="I115" s="80"/>
      <c r="J115" s="80"/>
      <c r="K115" s="249"/>
      <c r="L115" s="857"/>
      <c r="M115" s="68"/>
      <c r="N115" s="68"/>
      <c r="O115" s="70"/>
      <c r="P115" s="70"/>
      <c r="Q115" s="70"/>
      <c r="R115" s="249"/>
      <c r="S115" s="250"/>
      <c r="T115" s="70"/>
      <c r="U115" s="70"/>
      <c r="V115" s="70"/>
      <c r="W115" s="70"/>
      <c r="X115" s="250"/>
      <c r="Y115" s="70"/>
      <c r="Z115" s="70"/>
      <c r="AA115" s="70"/>
      <c r="AB115" s="274"/>
      <c r="AC115" s="73"/>
      <c r="AD115" s="275"/>
      <c r="AE115" s="275"/>
      <c r="AF115" s="74"/>
      <c r="AG115" s="75"/>
      <c r="AH115" s="319"/>
      <c r="AI115" s="288"/>
      <c r="AJ115" s="77"/>
      <c r="AK115" s="74"/>
      <c r="AL115" s="75"/>
      <c r="AM115" s="78"/>
      <c r="AN115" s="74"/>
      <c r="AO115" s="256"/>
      <c r="AP115" s="74"/>
      <c r="AQ115" s="80"/>
      <c r="AR115" s="247"/>
      <c r="AS115" s="247"/>
      <c r="AT115" s="247"/>
      <c r="AU115" s="317"/>
      <c r="AV115" s="387"/>
      <c r="AW115" s="843"/>
      <c r="AX115" s="84"/>
      <c r="AY115" s="64"/>
      <c r="AZ115" s="64"/>
      <c r="BA115" s="64"/>
      <c r="BB115" s="516"/>
      <c r="BC115" s="933"/>
      <c r="BD115" s="703"/>
      <c r="BE115" s="90" t="s">
        <v>235</v>
      </c>
      <c r="BF115" s="93"/>
      <c r="BG115" s="91"/>
      <c r="BH115" s="93"/>
      <c r="BI115" s="748"/>
      <c r="BJ115" s="748"/>
      <c r="BK115" s="748"/>
      <c r="BL115" s="91"/>
      <c r="BM115" s="94"/>
      <c r="BN115" s="94"/>
      <c r="BO115" s="1319"/>
      <c r="BP115" s="1388">
        <f t="shared" si="47"/>
        <v>0</v>
      </c>
      <c r="BQ115" s="131"/>
      <c r="BR115" s="132"/>
      <c r="BS115" s="99"/>
      <c r="BT115" s="385">
        <f t="shared" si="50"/>
        <v>0</v>
      </c>
      <c r="BU115" s="214">
        <f t="shared" si="51"/>
        <v>0</v>
      </c>
      <c r="BV115" s="214"/>
      <c r="BW115" s="101"/>
      <c r="BX115" s="102"/>
      <c r="BY115" s="103"/>
      <c r="BZ115" s="125"/>
      <c r="CA115" s="105"/>
      <c r="CB115" s="718"/>
      <c r="CC115" s="719"/>
      <c r="CD115" s="719"/>
      <c r="CE115" s="720"/>
      <c r="CF115" s="721" t="s">
        <v>125</v>
      </c>
      <c r="CH115" s="1312"/>
      <c r="CI115" s="1312"/>
      <c r="CJ115" s="1312"/>
      <c r="CK115" s="1313"/>
      <c r="CL115" s="1315"/>
      <c r="CM115" s="1315"/>
      <c r="CN115" s="1315"/>
      <c r="CO115" s="1315"/>
      <c r="CP115" s="1312"/>
      <c r="CQ115" s="1312"/>
      <c r="CR115" s="1312"/>
      <c r="CS115" s="1313"/>
      <c r="CT115" s="1315"/>
      <c r="CU115" s="602"/>
    </row>
    <row r="116" spans="1:99" ht="30" hidden="1" customHeight="1" outlineLevel="1">
      <c r="A116" s="831" t="s">
        <v>95</v>
      </c>
      <c r="B116" s="247"/>
      <c r="C116" s="247"/>
      <c r="D116" s="62"/>
      <c r="E116" s="62"/>
      <c r="F116" s="247"/>
      <c r="G116" s="80"/>
      <c r="H116" s="80"/>
      <c r="I116" s="80"/>
      <c r="J116" s="80"/>
      <c r="K116" s="271"/>
      <c r="L116" s="857"/>
      <c r="M116" s="68"/>
      <c r="N116" s="68"/>
      <c r="O116" s="70"/>
      <c r="P116" s="70"/>
      <c r="Q116" s="70"/>
      <c r="R116" s="249"/>
      <c r="S116" s="250"/>
      <c r="T116" s="70"/>
      <c r="U116" s="70"/>
      <c r="V116" s="70"/>
      <c r="W116" s="70"/>
      <c r="X116" s="250"/>
      <c r="Y116" s="70"/>
      <c r="Z116" s="70"/>
      <c r="AA116" s="70"/>
      <c r="AB116" s="274"/>
      <c r="AC116" s="73"/>
      <c r="AD116" s="275"/>
      <c r="AE116" s="135"/>
      <c r="AF116" s="74"/>
      <c r="AG116" s="75"/>
      <c r="AH116" s="276"/>
      <c r="AI116" s="77"/>
      <c r="AJ116" s="276"/>
      <c r="AK116" s="74"/>
      <c r="AL116" s="75"/>
      <c r="AM116" s="78"/>
      <c r="AN116" s="74"/>
      <c r="AO116" s="256"/>
      <c r="AP116" s="74"/>
      <c r="AQ116" s="65"/>
      <c r="AR116" s="247"/>
      <c r="AS116" s="247"/>
      <c r="AT116" s="247"/>
      <c r="AU116" s="317"/>
      <c r="AV116" s="387"/>
      <c r="AW116" s="861"/>
      <c r="AX116" s="84"/>
      <c r="AY116" s="64"/>
      <c r="AZ116" s="63"/>
      <c r="BA116" s="862"/>
      <c r="BB116" s="1317"/>
      <c r="BC116" s="933"/>
      <c r="BD116" s="703"/>
      <c r="BE116" s="748"/>
      <c r="BF116" s="93"/>
      <c r="BG116" s="91"/>
      <c r="BH116" s="93"/>
      <c r="BI116" s="748"/>
      <c r="BJ116" s="748"/>
      <c r="BK116" s="748"/>
      <c r="BL116" s="91"/>
      <c r="BM116" s="91"/>
      <c r="BN116" s="94"/>
      <c r="BO116" s="1319"/>
      <c r="BP116" s="1388">
        <f t="shared" si="47"/>
        <v>0</v>
      </c>
      <c r="BQ116" s="131"/>
      <c r="BR116" s="132"/>
      <c r="BS116" s="99"/>
      <c r="BT116" s="385">
        <f t="shared" si="50"/>
        <v>0</v>
      </c>
      <c r="BU116" s="214">
        <f t="shared" si="51"/>
        <v>0</v>
      </c>
      <c r="BV116" s="214"/>
      <c r="BW116" s="101"/>
      <c r="BX116" s="102"/>
      <c r="BY116" s="103"/>
      <c r="BZ116" s="125"/>
      <c r="CA116" s="105"/>
      <c r="CB116" s="627"/>
      <c r="CC116" s="107"/>
      <c r="CD116" s="107"/>
      <c r="CE116" s="726"/>
      <c r="CF116" s="721" t="s">
        <v>125</v>
      </c>
      <c r="CH116" s="1312"/>
      <c r="CI116" s="1312"/>
      <c r="CJ116" s="1312"/>
      <c r="CK116" s="1313"/>
      <c r="CL116" s="1315"/>
      <c r="CM116" s="1315"/>
      <c r="CN116" s="1315"/>
      <c r="CO116" s="1315"/>
      <c r="CP116" s="1312"/>
      <c r="CQ116" s="1312"/>
      <c r="CR116" s="1312"/>
      <c r="CS116" s="1313"/>
      <c r="CT116" s="1315"/>
      <c r="CU116" s="602"/>
    </row>
    <row r="117" spans="1:99" ht="30" hidden="1" customHeight="1" outlineLevel="1">
      <c r="A117" s="831" t="s">
        <v>95</v>
      </c>
      <c r="B117" s="247"/>
      <c r="C117" s="247"/>
      <c r="D117" s="62"/>
      <c r="E117" s="62"/>
      <c r="F117" s="247"/>
      <c r="G117" s="80"/>
      <c r="H117" s="80"/>
      <c r="I117" s="80"/>
      <c r="J117" s="80"/>
      <c r="K117" s="271"/>
      <c r="L117" s="857"/>
      <c r="M117" s="317"/>
      <c r="N117" s="68"/>
      <c r="O117" s="70"/>
      <c r="P117" s="70"/>
      <c r="Q117" s="70"/>
      <c r="R117" s="249"/>
      <c r="S117" s="250"/>
      <c r="T117" s="70"/>
      <c r="U117" s="70"/>
      <c r="V117" s="70"/>
      <c r="W117" s="70"/>
      <c r="X117" s="250"/>
      <c r="Y117" s="70"/>
      <c r="Z117" s="70"/>
      <c r="AA117" s="70"/>
      <c r="AB117" s="274"/>
      <c r="AC117" s="73"/>
      <c r="AD117" s="454"/>
      <c r="AE117" s="454"/>
      <c r="AF117" s="74"/>
      <c r="AG117" s="75"/>
      <c r="AH117" s="319"/>
      <c r="AI117" s="288"/>
      <c r="AJ117" s="77"/>
      <c r="AK117" s="74"/>
      <c r="AL117" s="75"/>
      <c r="AM117" s="78"/>
      <c r="AN117" s="74"/>
      <c r="AO117" s="256"/>
      <c r="AP117" s="74"/>
      <c r="AQ117" s="80"/>
      <c r="AR117" s="247"/>
      <c r="AS117" s="247"/>
      <c r="AT117" s="247"/>
      <c r="AU117" s="317"/>
      <c r="AV117" s="387"/>
      <c r="AW117" s="843"/>
      <c r="AX117" s="84"/>
      <c r="AY117" s="64"/>
      <c r="AZ117" s="64"/>
      <c r="BA117" s="64"/>
      <c r="BB117" s="516"/>
      <c r="BC117" s="1484"/>
      <c r="BD117" s="703"/>
      <c r="BE117" s="703"/>
      <c r="BF117" s="93"/>
      <c r="BG117" s="91"/>
      <c r="BH117" s="93"/>
      <c r="BI117" s="748"/>
      <c r="BJ117" s="748"/>
      <c r="BK117" s="748"/>
      <c r="BL117" s="91"/>
      <c r="BM117" s="94"/>
      <c r="BN117" s="94"/>
      <c r="BO117" s="1319"/>
      <c r="BP117" s="1388">
        <f t="shared" si="47"/>
        <v>0</v>
      </c>
      <c r="BQ117" s="131"/>
      <c r="BR117" s="132"/>
      <c r="BS117" s="99"/>
      <c r="BT117" s="284">
        <f t="shared" si="50"/>
        <v>0</v>
      </c>
      <c r="BU117" s="214">
        <f t="shared" si="51"/>
        <v>0</v>
      </c>
      <c r="BV117" s="214"/>
      <c r="BW117" s="863"/>
      <c r="BX117" s="864"/>
      <c r="BY117" s="211"/>
      <c r="BZ117" s="865"/>
      <c r="CA117" s="866"/>
      <c r="CB117" s="718"/>
      <c r="CC117" s="719"/>
      <c r="CD117" s="719"/>
      <c r="CE117" s="720"/>
      <c r="CF117" s="721" t="s">
        <v>125</v>
      </c>
      <c r="CH117" s="1312"/>
      <c r="CI117" s="1312"/>
      <c r="CJ117" s="1312"/>
      <c r="CK117" s="1313"/>
      <c r="CL117" s="1315"/>
      <c r="CM117" s="1315"/>
      <c r="CN117" s="1315"/>
      <c r="CO117" s="1315"/>
      <c r="CP117" s="1312"/>
      <c r="CQ117" s="1312"/>
      <c r="CR117" s="1312"/>
      <c r="CS117" s="1313"/>
      <c r="CT117" s="1315"/>
      <c r="CU117" s="602"/>
    </row>
    <row r="118" spans="1:99" ht="30" hidden="1" customHeight="1" outlineLevel="1">
      <c r="A118" s="831" t="s">
        <v>95</v>
      </c>
      <c r="B118" s="247"/>
      <c r="C118" s="247"/>
      <c r="D118" s="62"/>
      <c r="E118" s="62"/>
      <c r="F118" s="247"/>
      <c r="G118" s="80"/>
      <c r="H118" s="80"/>
      <c r="I118" s="80"/>
      <c r="J118" s="80"/>
      <c r="K118" s="271"/>
      <c r="L118" s="857"/>
      <c r="M118" s="68"/>
      <c r="N118" s="68"/>
      <c r="O118" s="70"/>
      <c r="P118" s="70"/>
      <c r="Q118" s="70"/>
      <c r="R118" s="249"/>
      <c r="S118" s="64"/>
      <c r="T118" s="70"/>
      <c r="U118" s="70"/>
      <c r="V118" s="70"/>
      <c r="W118" s="70"/>
      <c r="X118" s="64"/>
      <c r="Y118" s="70"/>
      <c r="Z118" s="70"/>
      <c r="AA118" s="70"/>
      <c r="AB118" s="274"/>
      <c r="AC118" s="73"/>
      <c r="AD118" s="275"/>
      <c r="AE118" s="454"/>
      <c r="AF118" s="74"/>
      <c r="AG118" s="75"/>
      <c r="AH118" s="724"/>
      <c r="AI118" s="288"/>
      <c r="AJ118" s="77"/>
      <c r="AK118" s="74"/>
      <c r="AL118" s="75"/>
      <c r="AM118" s="78"/>
      <c r="AN118" s="289"/>
      <c r="AO118" s="256"/>
      <c r="AP118" s="74"/>
      <c r="AQ118" s="271"/>
      <c r="AR118" s="247"/>
      <c r="AS118" s="247"/>
      <c r="AT118" s="247"/>
      <c r="AU118" s="317"/>
      <c r="AV118" s="387"/>
      <c r="AW118" s="843"/>
      <c r="AX118" s="84"/>
      <c r="AY118" s="64"/>
      <c r="AZ118" s="64"/>
      <c r="BA118" s="250"/>
      <c r="BB118" s="516"/>
      <c r="BC118" s="1484"/>
      <c r="BD118" s="703"/>
      <c r="BE118" s="867" t="s">
        <v>233</v>
      </c>
      <c r="BF118" s="91"/>
      <c r="BG118" s="91"/>
      <c r="BH118" s="91"/>
      <c r="BI118" s="91"/>
      <c r="BJ118" s="91"/>
      <c r="BK118" s="91"/>
      <c r="BL118" s="91"/>
      <c r="BM118" s="94"/>
      <c r="BN118" s="94"/>
      <c r="BO118" s="1319"/>
      <c r="BP118" s="1388">
        <f t="shared" si="47"/>
        <v>0</v>
      </c>
      <c r="BQ118" s="131"/>
      <c r="BR118" s="132"/>
      <c r="BS118" s="99"/>
      <c r="BT118" s="284">
        <f t="shared" si="50"/>
        <v>0</v>
      </c>
      <c r="BU118" s="214">
        <f t="shared" si="51"/>
        <v>0</v>
      </c>
      <c r="BV118" s="214"/>
      <c r="BW118" s="101"/>
      <c r="BX118" s="102"/>
      <c r="BY118" s="103"/>
      <c r="BZ118" s="104"/>
      <c r="CA118" s="105"/>
      <c r="CB118" s="718"/>
      <c r="CC118" s="719"/>
      <c r="CD118" s="859"/>
      <c r="CE118" s="720"/>
      <c r="CF118" s="860" t="s">
        <v>125</v>
      </c>
      <c r="CH118" s="1312"/>
      <c r="CI118" s="1312"/>
      <c r="CJ118" s="1312"/>
      <c r="CK118" s="1313"/>
      <c r="CL118" s="1315"/>
      <c r="CM118" s="1315"/>
      <c r="CN118" s="1315"/>
      <c r="CO118" s="1315"/>
      <c r="CP118" s="1312"/>
      <c r="CQ118" s="1312"/>
      <c r="CR118" s="1312"/>
      <c r="CS118" s="1313"/>
      <c r="CT118" s="1315"/>
      <c r="CU118" s="602"/>
    </row>
    <row r="119" spans="1:99" ht="30" hidden="1" customHeight="1" outlineLevel="1">
      <c r="A119" s="831" t="s">
        <v>95</v>
      </c>
      <c r="B119" s="247"/>
      <c r="C119" s="247"/>
      <c r="D119" s="62"/>
      <c r="E119" s="62"/>
      <c r="F119" s="247"/>
      <c r="G119" s="80"/>
      <c r="H119" s="322"/>
      <c r="I119" s="80"/>
      <c r="J119" s="80"/>
      <c r="K119" s="271"/>
      <c r="L119" s="857"/>
      <c r="M119" s="68"/>
      <c r="N119" s="68"/>
      <c r="O119" s="272"/>
      <c r="P119" s="70"/>
      <c r="Q119" s="70"/>
      <c r="R119" s="249"/>
      <c r="S119" s="64"/>
      <c r="T119" s="70"/>
      <c r="U119" s="70"/>
      <c r="V119" s="70"/>
      <c r="W119" s="70"/>
      <c r="X119" s="64"/>
      <c r="Y119" s="70"/>
      <c r="Z119" s="70"/>
      <c r="AA119" s="70"/>
      <c r="AB119" s="274"/>
      <c r="AC119" s="73"/>
      <c r="AD119" s="454"/>
      <c r="AE119" s="454"/>
      <c r="AF119" s="74"/>
      <c r="AG119" s="75"/>
      <c r="AH119" s="319"/>
      <c r="AI119" s="288"/>
      <c r="AJ119" s="77"/>
      <c r="AK119" s="74"/>
      <c r="AL119" s="75"/>
      <c r="AM119" s="78"/>
      <c r="AN119" s="74"/>
      <c r="AO119" s="256"/>
      <c r="AP119" s="74"/>
      <c r="AQ119" s="80"/>
      <c r="AR119" s="247"/>
      <c r="AS119" s="247"/>
      <c r="AT119" s="247"/>
      <c r="AU119" s="317"/>
      <c r="AV119" s="387"/>
      <c r="AW119" s="843"/>
      <c r="AX119" s="84"/>
      <c r="AY119" s="64"/>
      <c r="AZ119" s="64"/>
      <c r="BA119" s="64"/>
      <c r="BB119" s="516"/>
      <c r="BC119" s="1484"/>
      <c r="BD119" s="703"/>
      <c r="BE119" s="513" t="s">
        <v>233</v>
      </c>
      <c r="BF119" s="93"/>
      <c r="BG119" s="91"/>
      <c r="BH119" s="93"/>
      <c r="BI119" s="748"/>
      <c r="BJ119" s="748"/>
      <c r="BK119" s="748"/>
      <c r="BL119" s="91"/>
      <c r="BM119" s="94"/>
      <c r="BN119" s="94"/>
      <c r="BO119" s="1319"/>
      <c r="BP119" s="1388">
        <f t="shared" si="47"/>
        <v>0</v>
      </c>
      <c r="BQ119" s="131"/>
      <c r="BR119" s="132"/>
      <c r="BS119" s="99"/>
      <c r="BT119" s="130">
        <f t="shared" si="50"/>
        <v>0</v>
      </c>
      <c r="BU119" s="131">
        <f t="shared" si="51"/>
        <v>0</v>
      </c>
      <c r="BV119" s="131"/>
      <c r="BW119" s="101"/>
      <c r="BX119" s="102"/>
      <c r="BY119" s="103"/>
      <c r="BZ119" s="104"/>
      <c r="CA119" s="105"/>
      <c r="CB119" s="718"/>
      <c r="CC119" s="719"/>
      <c r="CD119" s="719"/>
      <c r="CE119" s="720"/>
      <c r="CF119" s="721" t="s">
        <v>125</v>
      </c>
      <c r="CH119" s="1312"/>
      <c r="CI119" s="1312"/>
      <c r="CJ119" s="1312"/>
      <c r="CK119" s="1313"/>
      <c r="CL119" s="1315"/>
      <c r="CM119" s="1315"/>
      <c r="CN119" s="1315"/>
      <c r="CO119" s="1315"/>
      <c r="CP119" s="1312"/>
      <c r="CQ119" s="1312"/>
      <c r="CR119" s="1312"/>
      <c r="CS119" s="1313"/>
      <c r="CT119" s="1315"/>
      <c r="CU119" s="602"/>
    </row>
    <row r="120" spans="1:99" ht="30" hidden="1" customHeight="1" outlineLevel="1">
      <c r="A120" s="148" t="s">
        <v>86</v>
      </c>
      <c r="B120" s="149">
        <f>COUNTIF(A96:A119,$B$1)</f>
        <v>4</v>
      </c>
      <c r="C120" s="150"/>
      <c r="D120" s="151"/>
      <c r="E120" s="151"/>
      <c r="F120" s="151"/>
      <c r="G120" s="152">
        <f>SUMIF(A96:A119,$B$1,G96:G119)</f>
        <v>57</v>
      </c>
      <c r="H120" s="152">
        <f>SUMIF(A96:A119,$B$1,H96:H119)</f>
        <v>57</v>
      </c>
      <c r="I120" s="152">
        <f>SUM(I96:I119)</f>
        <v>1972</v>
      </c>
      <c r="J120" s="152"/>
      <c r="K120" s="152"/>
      <c r="L120" s="153">
        <f>SUMIF(A106:A119,$B$1,L106:L119)</f>
        <v>0</v>
      </c>
      <c r="M120" s="152"/>
      <c r="N120" s="152"/>
      <c r="O120" s="152"/>
      <c r="P120" s="152"/>
      <c r="Q120" s="152"/>
      <c r="R120" s="152"/>
      <c r="S120" s="152"/>
      <c r="T120" s="152"/>
      <c r="U120" s="151"/>
      <c r="V120" s="151"/>
      <c r="W120" s="151"/>
      <c r="X120" s="152"/>
      <c r="Y120" s="152"/>
      <c r="Z120" s="151"/>
      <c r="AA120" s="151"/>
      <c r="AB120" s="151"/>
      <c r="AC120" s="154"/>
      <c r="AD120" s="155"/>
      <c r="AE120" s="156"/>
      <c r="AF120" s="152"/>
      <c r="AG120" s="157"/>
      <c r="AH120" s="730"/>
      <c r="AI120" s="156"/>
      <c r="AJ120" s="156"/>
      <c r="AK120" s="152"/>
      <c r="AL120" s="157"/>
      <c r="AM120" s="297">
        <f>COUNTA(AM106:AM119)</f>
        <v>0</v>
      </c>
      <c r="AN120" s="152">
        <f>SUM(AN106:AN119)</f>
        <v>0</v>
      </c>
      <c r="AO120" s="152">
        <f>SUM(AO106:AO119)</f>
        <v>0</v>
      </c>
      <c r="AP120" s="161"/>
      <c r="AQ120" s="151"/>
      <c r="AR120" s="151"/>
      <c r="AS120" s="151"/>
      <c r="AT120" s="151"/>
      <c r="AU120" s="151"/>
      <c r="AV120" s="151"/>
      <c r="AW120" s="151"/>
      <c r="AX120" s="163">
        <f>SUM(AX106:AX119)</f>
        <v>0</v>
      </c>
      <c r="AY120" s="163">
        <f>SUM(AY106:AY119)</f>
        <v>0</v>
      </c>
      <c r="AZ120" s="163">
        <f>SUM(AZ106:AZ119)</f>
        <v>0</v>
      </c>
      <c r="BA120" s="221" t="str">
        <f>IF(COUNT(BA106:BA119)=0,"-",AVERAGE(BA106:BA119))</f>
        <v>-</v>
      </c>
      <c r="BB120" s="1386"/>
      <c r="BC120" s="341"/>
      <c r="BD120" s="340"/>
      <c r="BE120" s="341"/>
      <c r="BF120" s="341"/>
      <c r="BG120" s="341"/>
      <c r="BH120" s="341"/>
      <c r="BI120" s="341"/>
      <c r="BJ120" s="341"/>
      <c r="BK120" s="341"/>
      <c r="BL120" s="341"/>
      <c r="BM120" s="341"/>
      <c r="BN120" s="163" t="e">
        <f>SUM(BN101:BN119)</f>
        <v>#VALUE!</v>
      </c>
      <c r="BO120" s="149" t="e">
        <f>SUM(BO101:BO119)</f>
        <v>#VALUE!</v>
      </c>
      <c r="BP120" s="1585">
        <f>COUNTA(BP96:BP119)</f>
        <v>21</v>
      </c>
      <c r="BQ120" s="1586">
        <f>SUM(BQ96:BQ101,BQ106:BQ118)</f>
        <v>2936</v>
      </c>
      <c r="BR120" s="1587">
        <f>SUM(BR96:BR101,BR106:BR118)</f>
        <v>0</v>
      </c>
      <c r="BS120" s="871"/>
      <c r="BT120" s="571">
        <f>COUNTA(BT96:BT119)</f>
        <v>19</v>
      </c>
      <c r="BU120" s="574">
        <f>SUM(BU96:BU119)</f>
        <v>243</v>
      </c>
      <c r="BV120" s="872">
        <f>SUM(BV96:BV119)</f>
        <v>172</v>
      </c>
      <c r="BW120" s="171"/>
      <c r="BX120" s="548"/>
      <c r="BY120" s="173">
        <f>AM120</f>
        <v>0</v>
      </c>
      <c r="BZ120" s="173">
        <f>COUNTIF(BZ106:BZ119,"=0")</f>
        <v>0</v>
      </c>
      <c r="CA120" s="174">
        <f>SUM(COUNTIF(BZ106:BZ119,"&lt;0"),COUNTIF(BZ106:BZ119,"&gt;0"))</f>
        <v>0</v>
      </c>
      <c r="CB120" s="225">
        <f>COUNTIF(CB101:CB101,"1")</f>
        <v>0</v>
      </c>
      <c r="CC120" s="226">
        <f>SUM(CC101:CC101)</f>
        <v>0</v>
      </c>
      <c r="CD120" s="227">
        <f>COUNTIF(CD101:CD105,"1")</f>
        <v>0</v>
      </c>
      <c r="CE120" s="228">
        <f>SUM(CE101:CE105)</f>
        <v>0</v>
      </c>
      <c r="CF120" s="731"/>
      <c r="CH120" s="1312"/>
      <c r="CI120" s="1312"/>
      <c r="CJ120" s="1312"/>
      <c r="CK120" s="1313"/>
      <c r="CL120" s="1315"/>
      <c r="CM120" s="1315"/>
      <c r="CN120" s="1315"/>
      <c r="CO120" s="1315"/>
      <c r="CP120" s="1312"/>
      <c r="CQ120" s="1312"/>
      <c r="CR120" s="1312"/>
      <c r="CS120" s="1313"/>
      <c r="CT120" s="1315"/>
      <c r="CU120" s="602"/>
    </row>
    <row r="121" spans="1:99" ht="30" hidden="1" customHeight="1" outlineLevel="1">
      <c r="A121" s="179" t="s">
        <v>87</v>
      </c>
      <c r="B121" s="348">
        <f>COUNT(A96:A119)</f>
        <v>4</v>
      </c>
      <c r="C121" s="181"/>
      <c r="D121" s="182"/>
      <c r="E121" s="182"/>
      <c r="F121" s="182"/>
      <c r="G121" s="184">
        <f>SUM(G103,G120)</f>
        <v>114</v>
      </c>
      <c r="H121" s="184">
        <f>SUM(H103,H120)</f>
        <v>114</v>
      </c>
      <c r="I121" s="184"/>
      <c r="J121" s="184">
        <f>SUM(J103,J120)</f>
        <v>986</v>
      </c>
      <c r="K121" s="184"/>
      <c r="L121" s="184"/>
      <c r="M121" s="184"/>
      <c r="N121" s="184"/>
      <c r="O121" s="184"/>
      <c r="P121" s="184"/>
      <c r="Q121" s="184"/>
      <c r="R121" s="185"/>
      <c r="S121" s="185">
        <f>SUMIF(AE106:AE119,"перех.",S106:S119)</f>
        <v>0</v>
      </c>
      <c r="T121" s="185"/>
      <c r="U121" s="182"/>
      <c r="V121" s="182"/>
      <c r="W121" s="182"/>
      <c r="X121" s="185">
        <f>SUMIF(AK106:AK119,"перех.",X106:X119)</f>
        <v>0</v>
      </c>
      <c r="Y121" s="185"/>
      <c r="Z121" s="182"/>
      <c r="AA121" s="182"/>
      <c r="AB121" s="182"/>
      <c r="AC121" s="186"/>
      <c r="AD121" s="186"/>
      <c r="AE121" s="186"/>
      <c r="AF121" s="184"/>
      <c r="AG121" s="184"/>
      <c r="AH121" s="186"/>
      <c r="AI121" s="186"/>
      <c r="AJ121" s="186"/>
      <c r="AK121" s="184"/>
      <c r="AL121" s="184"/>
      <c r="AM121" s="182">
        <f>SUM(AM120,AM102)</f>
        <v>0</v>
      </c>
      <c r="AN121" s="184">
        <f>SUM(AN120,AN102)</f>
        <v>0</v>
      </c>
      <c r="AO121" s="182"/>
      <c r="AP121" s="187"/>
      <c r="AQ121" s="182"/>
      <c r="AR121" s="182"/>
      <c r="AS121" s="182"/>
      <c r="AT121" s="182"/>
      <c r="AU121" s="182"/>
      <c r="AV121" s="182"/>
      <c r="AW121" s="182"/>
      <c r="AX121" s="184">
        <f>SUM(AX120,AX102)</f>
        <v>0</v>
      </c>
      <c r="AY121" s="184">
        <f>SUM(AY120,AY102)</f>
        <v>0</v>
      </c>
      <c r="AZ121" s="184">
        <f>SUM(AZ120,AZ102)</f>
        <v>0</v>
      </c>
      <c r="BA121" s="229" t="str">
        <f>IF(COUNT(BA106:BA119,BA96:BA101)=0,"-",AVERAGE(BA106:BA119,BA96:BA101))</f>
        <v>-</v>
      </c>
      <c r="BB121" s="188">
        <f>SUM(BB96:BB96)</f>
        <v>0</v>
      </c>
      <c r="BC121" s="476"/>
      <c r="BD121" s="535"/>
      <c r="BE121" s="476"/>
      <c r="BF121" s="476"/>
      <c r="BG121" s="476"/>
      <c r="BH121" s="476"/>
      <c r="BI121" s="476"/>
      <c r="BJ121" s="476"/>
      <c r="BK121" s="476"/>
      <c r="BL121" s="476"/>
      <c r="BM121" s="476"/>
      <c r="BN121" s="190"/>
      <c r="BO121" s="304"/>
      <c r="BP121" s="1588"/>
      <c r="BQ121" s="875"/>
      <c r="BR121" s="875"/>
      <c r="BS121" s="474">
        <f>SUMIF(BS96:BS119,"",BR96:BR119)</f>
        <v>0</v>
      </c>
      <c r="BT121" s="876"/>
      <c r="BU121" s="877"/>
      <c r="BV121" s="877"/>
      <c r="BW121" s="360"/>
      <c r="BX121" s="230"/>
      <c r="BY121" s="197">
        <f>SUM(BY106:BY119)</f>
        <v>0</v>
      </c>
      <c r="BZ121" s="197">
        <f>SUMIF(BZ106:BZ119,"=0",CA106:CA119)</f>
        <v>0</v>
      </c>
      <c r="CA121" s="198">
        <f>SUMIF(BZ106:BZ119,"&lt;&gt;0",CA106:CA119)</f>
        <v>0</v>
      </c>
      <c r="CB121" s="197"/>
      <c r="CC121" s="197"/>
      <c r="CD121" s="197"/>
      <c r="CE121" s="197"/>
      <c r="CF121" s="744"/>
      <c r="CH121" s="1312"/>
      <c r="CI121" s="1312"/>
      <c r="CJ121" s="1312"/>
      <c r="CK121" s="1313"/>
      <c r="CL121" s="1315"/>
      <c r="CM121" s="1315"/>
      <c r="CN121" s="1315"/>
      <c r="CO121" s="1315"/>
      <c r="CP121" s="1312"/>
      <c r="CQ121" s="1312"/>
      <c r="CR121" s="1312"/>
      <c r="CS121" s="1313"/>
      <c r="CT121" s="1315"/>
      <c r="CU121" s="602"/>
    </row>
    <row r="122" spans="1:99" ht="30" hidden="1" customHeight="1" outlineLevel="1" collapsed="1">
      <c r="A122" s="2144" t="s">
        <v>263</v>
      </c>
      <c r="B122" s="2144"/>
      <c r="C122" s="2144"/>
      <c r="D122" s="2144"/>
      <c r="E122" s="2144"/>
      <c r="F122" s="21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362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5"/>
      <c r="BD122" s="46"/>
      <c r="BE122" s="46"/>
      <c r="BF122" s="46"/>
      <c r="BG122" s="46"/>
      <c r="BH122" s="46"/>
      <c r="BI122" s="46"/>
      <c r="BJ122" s="46"/>
      <c r="BK122" s="46"/>
      <c r="BL122" s="46"/>
      <c r="BM122" s="46"/>
      <c r="BN122" s="46"/>
      <c r="BO122" s="1423"/>
      <c r="BP122" s="1412"/>
      <c r="BQ122" s="367"/>
      <c r="BR122" s="367"/>
      <c r="BS122" s="608"/>
      <c r="BT122" s="610"/>
      <c r="BU122" s="610"/>
      <c r="BV122" s="610"/>
      <c r="BW122" s="369"/>
      <c r="BX122" s="365"/>
      <c r="BY122" s="365"/>
      <c r="BZ122" s="365"/>
      <c r="CA122" s="244"/>
      <c r="CB122" s="365"/>
      <c r="CC122" s="365"/>
      <c r="CD122" s="365"/>
      <c r="CE122" s="365"/>
      <c r="CF122" s="369"/>
      <c r="CK122" s="1361"/>
      <c r="CL122" s="1315"/>
      <c r="CM122" s="1315"/>
      <c r="CN122" s="1315"/>
      <c r="CO122" s="1315"/>
      <c r="CP122" s="1315"/>
      <c r="CQ122" s="1315"/>
      <c r="CR122" s="1315"/>
      <c r="CS122" s="1361"/>
      <c r="CT122" s="1315"/>
      <c r="CU122" s="602"/>
    </row>
    <row r="123" spans="1:99" ht="30" hidden="1" customHeight="1" outlineLevel="1">
      <c r="A123" s="310"/>
      <c r="B123" s="505"/>
      <c r="C123" s="505"/>
      <c r="D123" s="62"/>
      <c r="E123" s="62"/>
      <c r="F123" s="247"/>
      <c r="G123" s="80"/>
      <c r="H123" s="80"/>
      <c r="I123" s="80"/>
      <c r="J123" s="65"/>
      <c r="K123" s="629"/>
      <c r="L123" s="252"/>
      <c r="M123" s="252"/>
      <c r="N123" s="252"/>
      <c r="O123" s="372"/>
      <c r="P123" s="71"/>
      <c r="Q123" s="71"/>
      <c r="R123" s="273"/>
      <c r="S123" s="63"/>
      <c r="T123" s="71"/>
      <c r="U123" s="913"/>
      <c r="V123" s="71"/>
      <c r="W123" s="537"/>
      <c r="X123" s="63"/>
      <c r="Y123" s="71"/>
      <c r="Z123" s="537"/>
      <c r="AA123" s="71"/>
      <c r="AB123" s="274" t="s">
        <v>129</v>
      </c>
      <c r="AC123" s="253"/>
      <c r="AD123" s="135"/>
      <c r="AE123" s="1723"/>
      <c r="AF123" s="78"/>
      <c r="AG123" s="75" t="str">
        <f>IF(S123="","",AF123*S123)</f>
        <v/>
      </c>
      <c r="AH123" s="319"/>
      <c r="AI123" s="288"/>
      <c r="AJ123" s="77"/>
      <c r="AK123" s="74"/>
      <c r="AL123" s="75"/>
      <c r="AM123" s="78"/>
      <c r="AN123" s="74"/>
      <c r="AO123" s="63"/>
      <c r="AP123" s="74"/>
      <c r="AQ123" s="112"/>
      <c r="AR123" s="68"/>
      <c r="AS123" s="68"/>
      <c r="AT123" s="68"/>
      <c r="AU123" s="68"/>
      <c r="AV123" s="258"/>
      <c r="AW123" s="843"/>
      <c r="AX123" s="84"/>
      <c r="AY123" s="64"/>
      <c r="AZ123" s="63"/>
      <c r="BA123" s="312"/>
      <c r="BB123" s="1317"/>
      <c r="BC123" s="1484"/>
      <c r="BD123" s="703"/>
      <c r="BE123" s="513"/>
      <c r="BF123" s="93"/>
      <c r="BG123" s="91"/>
      <c r="BH123" s="93"/>
      <c r="BI123" s="748"/>
      <c r="BJ123" s="748"/>
      <c r="BK123" s="748"/>
      <c r="BL123" s="91"/>
      <c r="BM123" s="91"/>
      <c r="BN123" s="94"/>
      <c r="BO123" s="1319"/>
      <c r="BP123" s="1485">
        <f>AC123</f>
        <v>0</v>
      </c>
      <c r="BQ123" s="131"/>
      <c r="BR123" s="132"/>
      <c r="BS123" s="99"/>
      <c r="BT123" s="284">
        <f>S123</f>
        <v>0</v>
      </c>
      <c r="BU123" s="214" t="str">
        <f>AG123</f>
        <v/>
      </c>
      <c r="BV123" s="214"/>
      <c r="BW123" s="101" t="e">
        <f>NA()</f>
        <v>#N/A</v>
      </c>
      <c r="BX123" s="102" t="e">
        <f>NA()</f>
        <v>#N/A</v>
      </c>
      <c r="BY123" s="103">
        <f>($D$1-AJ123)*AX123</f>
        <v>0</v>
      </c>
      <c r="BZ123" s="104" t="e">
        <f>IF(AM123&gt;0,"-",(AE123-BX123))</f>
        <v>#N/A</v>
      </c>
      <c r="CA123" s="105" t="e">
        <f>IF(AM123&gt;0,"-",(($D$1-BX123)*H123))</f>
        <v>#N/A</v>
      </c>
      <c r="CB123" s="879"/>
      <c r="CC123" s="880"/>
      <c r="CD123" s="881"/>
      <c r="CE123" s="882"/>
      <c r="CF123" s="860" t="s">
        <v>127</v>
      </c>
      <c r="CK123" s="1361"/>
      <c r="CL123" s="1315"/>
      <c r="CM123" s="1315"/>
      <c r="CN123" s="1315"/>
      <c r="CO123" s="1315"/>
      <c r="CP123" s="1315"/>
      <c r="CQ123" s="1315"/>
      <c r="CR123" s="1315"/>
      <c r="CS123" s="1361"/>
      <c r="CT123" s="1315"/>
      <c r="CU123" s="602"/>
    </row>
    <row r="124" spans="1:99" ht="30" hidden="1" customHeight="1" outlineLevel="1">
      <c r="A124" s="310"/>
      <c r="B124" s="247"/>
      <c r="C124" s="247"/>
      <c r="D124" s="61"/>
      <c r="E124" s="62"/>
      <c r="F124" s="247"/>
      <c r="G124" s="80"/>
      <c r="H124" s="80"/>
      <c r="I124" s="80"/>
      <c r="J124" s="65"/>
      <c r="K124" s="66"/>
      <c r="L124" s="252"/>
      <c r="M124" s="68"/>
      <c r="N124" s="68"/>
      <c r="O124" s="372"/>
      <c r="P124" s="70"/>
      <c r="Q124" s="70"/>
      <c r="R124" s="66"/>
      <c r="S124" s="64"/>
      <c r="T124" s="70"/>
      <c r="U124" s="372"/>
      <c r="V124" s="70"/>
      <c r="W124" s="70"/>
      <c r="X124" s="64"/>
      <c r="Y124" s="70"/>
      <c r="Z124" s="70"/>
      <c r="AA124" s="70"/>
      <c r="AB124" s="274"/>
      <c r="AC124" s="319"/>
      <c r="AD124" s="288"/>
      <c r="AE124" s="454"/>
      <c r="AF124" s="74"/>
      <c r="AG124" s="75"/>
      <c r="AH124" s="319"/>
      <c r="AI124" s="288"/>
      <c r="AJ124" s="77"/>
      <c r="AK124" s="74"/>
      <c r="AL124" s="75"/>
      <c r="AM124" s="78"/>
      <c r="AN124" s="74"/>
      <c r="AO124" s="63"/>
      <c r="AP124" s="74"/>
      <c r="AQ124" s="80"/>
      <c r="AR124" s="68"/>
      <c r="AS124" s="68"/>
      <c r="AT124" s="68"/>
      <c r="AU124" s="68"/>
      <c r="AV124" s="258"/>
      <c r="AW124" s="843"/>
      <c r="AX124" s="84"/>
      <c r="AY124" s="64"/>
      <c r="AZ124" s="63"/>
      <c r="BA124" s="312"/>
      <c r="BB124" s="1317"/>
      <c r="BC124" s="1484"/>
      <c r="BD124" s="703"/>
      <c r="BE124" s="841"/>
      <c r="BF124" s="93"/>
      <c r="BG124" s="91"/>
      <c r="BH124" s="93"/>
      <c r="BI124" s="748"/>
      <c r="BJ124" s="748"/>
      <c r="BK124" s="748"/>
      <c r="BL124" s="91"/>
      <c r="BM124" s="91"/>
      <c r="BN124" s="94"/>
      <c r="BO124" s="1319"/>
      <c r="BP124" s="1485">
        <f>AC124</f>
        <v>0</v>
      </c>
      <c r="BQ124" s="131"/>
      <c r="BR124" s="131"/>
      <c r="BS124" s="99"/>
      <c r="BT124" s="385">
        <f>S124</f>
        <v>0</v>
      </c>
      <c r="BU124" s="214">
        <f>AG124</f>
        <v>0</v>
      </c>
      <c r="BV124" s="214"/>
      <c r="BW124" s="885"/>
      <c r="BX124" s="886"/>
      <c r="BY124" s="644"/>
      <c r="BZ124" s="531"/>
      <c r="CA124" s="887"/>
      <c r="CB124" s="879"/>
      <c r="CC124" s="880"/>
      <c r="CD124" s="881"/>
      <c r="CE124" s="882"/>
      <c r="CF124" s="1589"/>
      <c r="CK124" s="1361"/>
      <c r="CL124" s="1315"/>
      <c r="CM124" s="1315"/>
      <c r="CN124" s="1315"/>
      <c r="CO124" s="1315"/>
      <c r="CP124" s="1315"/>
      <c r="CQ124" s="1315"/>
      <c r="CR124" s="1315"/>
      <c r="CS124" s="1361"/>
      <c r="CT124" s="1315"/>
      <c r="CU124" s="602"/>
    </row>
    <row r="125" spans="1:99" ht="30" hidden="1" customHeight="1" outlineLevel="1">
      <c r="A125" s="310"/>
      <c r="B125" s="247"/>
      <c r="C125" s="247"/>
      <c r="D125" s="61"/>
      <c r="E125" s="62"/>
      <c r="F125" s="247"/>
      <c r="G125" s="80"/>
      <c r="H125" s="80"/>
      <c r="I125" s="80"/>
      <c r="J125" s="65"/>
      <c r="K125" s="629"/>
      <c r="L125" s="252"/>
      <c r="M125" s="68"/>
      <c r="N125" s="68"/>
      <c r="O125" s="372"/>
      <c r="P125" s="70"/>
      <c r="Q125" s="70"/>
      <c r="R125" s="66"/>
      <c r="S125" s="64"/>
      <c r="T125" s="70"/>
      <c r="U125" s="372"/>
      <c r="V125" s="70"/>
      <c r="W125" s="70"/>
      <c r="X125" s="64"/>
      <c r="Y125" s="70"/>
      <c r="Z125" s="70"/>
      <c r="AA125" s="70"/>
      <c r="AB125" s="274"/>
      <c r="AC125" s="319"/>
      <c r="AD125" s="288"/>
      <c r="AE125" s="454"/>
      <c r="AF125" s="74"/>
      <c r="AG125" s="75"/>
      <c r="AH125" s="319"/>
      <c r="AI125" s="288"/>
      <c r="AJ125" s="77"/>
      <c r="AK125" s="74"/>
      <c r="AL125" s="75"/>
      <c r="AM125" s="78"/>
      <c r="AN125" s="74"/>
      <c r="AO125" s="63"/>
      <c r="AP125" s="74"/>
      <c r="AQ125" s="112"/>
      <c r="AR125" s="68"/>
      <c r="AS125" s="68"/>
      <c r="AT125" s="68"/>
      <c r="AU125" s="68"/>
      <c r="AV125" s="258"/>
      <c r="AW125" s="843"/>
      <c r="AX125" s="84"/>
      <c r="AY125" s="64"/>
      <c r="AZ125" s="63"/>
      <c r="BA125" s="312"/>
      <c r="BB125" s="1317"/>
      <c r="BC125" s="1484"/>
      <c r="BD125" s="703"/>
      <c r="BE125" s="513"/>
      <c r="BF125" s="93"/>
      <c r="BG125" s="91"/>
      <c r="BH125" s="93"/>
      <c r="BI125" s="748"/>
      <c r="BJ125" s="748"/>
      <c r="BK125" s="748"/>
      <c r="BL125" s="91"/>
      <c r="BM125" s="91"/>
      <c r="BN125" s="94"/>
      <c r="BO125" s="1319"/>
      <c r="BP125" s="1485">
        <f>AC125</f>
        <v>0</v>
      </c>
      <c r="BQ125" s="131"/>
      <c r="BR125" s="132"/>
      <c r="BS125" s="99"/>
      <c r="BT125" s="385">
        <f>S125</f>
        <v>0</v>
      </c>
      <c r="BU125" s="214">
        <f>AG125</f>
        <v>0</v>
      </c>
      <c r="BV125" s="214"/>
      <c r="BW125" s="885"/>
      <c r="BX125" s="886"/>
      <c r="BY125" s="644"/>
      <c r="BZ125" s="531"/>
      <c r="CA125" s="887"/>
      <c r="CB125" s="879"/>
      <c r="CC125" s="880"/>
      <c r="CD125" s="881"/>
      <c r="CE125" s="882"/>
      <c r="CF125" s="1589"/>
      <c r="CK125" s="1361"/>
      <c r="CL125" s="1315"/>
      <c r="CM125" s="1315"/>
      <c r="CN125" s="1315"/>
      <c r="CO125" s="1315"/>
      <c r="CP125" s="1315"/>
      <c r="CQ125" s="1315"/>
      <c r="CR125" s="1315"/>
      <c r="CS125" s="1361"/>
      <c r="CT125" s="1315"/>
      <c r="CU125" s="602"/>
    </row>
    <row r="126" spans="1:99" ht="30" hidden="1" customHeight="1" outlineLevel="1">
      <c r="A126" s="59"/>
      <c r="B126" s="892"/>
      <c r="C126" s="247"/>
      <c r="D126" s="248"/>
      <c r="E126" s="248"/>
      <c r="F126" s="247"/>
      <c r="G126" s="80"/>
      <c r="H126" s="80"/>
      <c r="I126" s="80"/>
      <c r="J126" s="80"/>
      <c r="K126" s="271"/>
      <c r="L126" s="322"/>
      <c r="M126" s="68"/>
      <c r="N126" s="68"/>
      <c r="O126" s="70"/>
      <c r="P126" s="70"/>
      <c r="Q126" s="70"/>
      <c r="R126" s="249"/>
      <c r="S126" s="250"/>
      <c r="T126" s="70"/>
      <c r="U126" s="70"/>
      <c r="V126" s="70"/>
      <c r="W126" s="70"/>
      <c r="X126" s="250"/>
      <c r="Y126" s="70"/>
      <c r="Z126" s="70"/>
      <c r="AA126" s="70"/>
      <c r="AB126" s="274"/>
      <c r="AC126" s="276"/>
      <c r="AD126" s="254"/>
      <c r="AE126" s="454"/>
      <c r="AF126" s="74"/>
      <c r="AG126" s="75"/>
      <c r="AH126" s="276"/>
      <c r="AI126" s="254"/>
      <c r="AJ126" s="255"/>
      <c r="AK126" s="74"/>
      <c r="AL126" s="75"/>
      <c r="AM126" s="78"/>
      <c r="AN126" s="74"/>
      <c r="AO126" s="256"/>
      <c r="AP126" s="74"/>
      <c r="AQ126" s="112"/>
      <c r="AR126" s="247"/>
      <c r="AS126" s="247"/>
      <c r="AT126" s="247"/>
      <c r="AU126" s="68"/>
      <c r="AV126" s="258"/>
      <c r="AW126" s="514"/>
      <c r="AX126" s="84"/>
      <c r="AY126" s="64"/>
      <c r="AZ126" s="63"/>
      <c r="BA126" s="312"/>
      <c r="BB126" s="1317"/>
      <c r="BC126" s="1413"/>
      <c r="BD126" s="375"/>
      <c r="BE126" s="893"/>
      <c r="BF126" s="91"/>
      <c r="BG126" s="91"/>
      <c r="BH126" s="91"/>
      <c r="BI126" s="91"/>
      <c r="BJ126" s="91"/>
      <c r="BK126" s="91"/>
      <c r="BL126" s="91"/>
      <c r="BM126" s="91"/>
      <c r="BN126" s="94"/>
      <c r="BO126" s="1319"/>
      <c r="BP126" s="1388">
        <f>AC126</f>
        <v>0</v>
      </c>
      <c r="BQ126" s="131"/>
      <c r="BR126" s="132"/>
      <c r="BS126" s="99"/>
      <c r="BT126" s="284">
        <f>S126</f>
        <v>0</v>
      </c>
      <c r="BU126" s="214">
        <f>AG126</f>
        <v>0</v>
      </c>
      <c r="BV126" s="214"/>
      <c r="BW126" s="885"/>
      <c r="BX126" s="886"/>
      <c r="BY126" s="644"/>
      <c r="BZ126" s="530"/>
      <c r="CA126" s="887"/>
      <c r="CB126" s="879"/>
      <c r="CC126" s="880"/>
      <c r="CD126" s="881"/>
      <c r="CE126" s="882"/>
      <c r="CF126" s="1589"/>
      <c r="CK126" s="1361"/>
      <c r="CL126" s="1315"/>
      <c r="CM126" s="1315"/>
      <c r="CN126" s="1315"/>
      <c r="CO126" s="1315"/>
      <c r="CP126" s="1315"/>
      <c r="CQ126" s="1315"/>
      <c r="CR126" s="1315"/>
      <c r="CS126" s="1361"/>
      <c r="CT126" s="1315"/>
      <c r="CU126" s="602"/>
    </row>
    <row r="127" spans="1:99" ht="30" hidden="1" customHeight="1" outlineLevel="1">
      <c r="A127" s="59"/>
      <c r="B127" s="247"/>
      <c r="C127" s="247"/>
      <c r="D127" s="248"/>
      <c r="E127" s="248"/>
      <c r="F127" s="247"/>
      <c r="G127" s="80"/>
      <c r="H127" s="80"/>
      <c r="I127" s="80"/>
      <c r="J127" s="80"/>
      <c r="K127" s="271"/>
      <c r="L127" s="67"/>
      <c r="M127" s="68"/>
      <c r="N127" s="68"/>
      <c r="O127" s="70"/>
      <c r="P127" s="70"/>
      <c r="Q127" s="70"/>
      <c r="R127" s="249"/>
      <c r="S127" s="250"/>
      <c r="T127" s="70"/>
      <c r="U127" s="70"/>
      <c r="V127" s="70"/>
      <c r="W127" s="70"/>
      <c r="X127" s="250"/>
      <c r="Y127" s="70"/>
      <c r="Z127" s="70"/>
      <c r="AA127" s="70"/>
      <c r="AB127" s="274"/>
      <c r="AC127" s="73"/>
      <c r="AD127" s="454"/>
      <c r="AE127" s="454"/>
      <c r="AF127" s="74"/>
      <c r="AG127" s="75"/>
      <c r="AH127" s="276"/>
      <c r="AI127" s="254"/>
      <c r="AJ127" s="255"/>
      <c r="AK127" s="74"/>
      <c r="AL127" s="75"/>
      <c r="AM127" s="78"/>
      <c r="AN127" s="74"/>
      <c r="AO127" s="256"/>
      <c r="AP127" s="74"/>
      <c r="AQ127" s="112"/>
      <c r="AR127" s="247"/>
      <c r="AS127" s="247"/>
      <c r="AT127" s="247"/>
      <c r="AU127" s="317"/>
      <c r="AV127" s="387"/>
      <c r="AW127" s="514"/>
      <c r="AX127" s="84"/>
      <c r="AY127" s="64"/>
      <c r="AZ127" s="63"/>
      <c r="BA127" s="312"/>
      <c r="BB127" s="1317"/>
      <c r="BC127" s="1413"/>
      <c r="BD127" s="375"/>
      <c r="BE127" s="894"/>
      <c r="BF127" s="143"/>
      <c r="BG127" s="143"/>
      <c r="BH127" s="143"/>
      <c r="BI127" s="143"/>
      <c r="BJ127" s="143"/>
      <c r="BK127" s="143"/>
      <c r="BL127" s="143"/>
      <c r="BM127" s="143"/>
      <c r="BN127" s="146"/>
      <c r="BO127" s="1332"/>
      <c r="BP127" s="1388">
        <f>AC127</f>
        <v>0</v>
      </c>
      <c r="BQ127" s="131"/>
      <c r="BR127" s="132"/>
      <c r="BS127" s="99"/>
      <c r="BT127" s="385">
        <f>S127</f>
        <v>0</v>
      </c>
      <c r="BU127" s="214">
        <f>AG127</f>
        <v>0</v>
      </c>
      <c r="BV127" s="214"/>
      <c r="BW127" s="885"/>
      <c r="BX127" s="886"/>
      <c r="BY127" s="644"/>
      <c r="BZ127" s="531"/>
      <c r="CA127" s="887"/>
      <c r="CB127" s="879"/>
      <c r="CC127" s="880"/>
      <c r="CD127" s="881"/>
      <c r="CE127" s="882"/>
      <c r="CF127" s="1589"/>
      <c r="CK127" s="1361"/>
      <c r="CL127" s="1315"/>
      <c r="CM127" s="1315"/>
      <c r="CN127" s="1315"/>
      <c r="CO127" s="1315"/>
      <c r="CP127" s="1315"/>
      <c r="CQ127" s="1315"/>
      <c r="CR127" s="1315"/>
      <c r="CS127" s="1361"/>
      <c r="CT127" s="1315"/>
      <c r="CU127" s="602"/>
    </row>
    <row r="128" spans="1:99" ht="30" hidden="1" customHeight="1" outlineLevel="1" collapsed="1">
      <c r="A128" s="148" t="s">
        <v>220</v>
      </c>
      <c r="B128" s="149">
        <f>COUNTIF(A123:A127,$B$1)</f>
        <v>0</v>
      </c>
      <c r="C128" s="150"/>
      <c r="D128" s="151"/>
      <c r="E128" s="151"/>
      <c r="F128" s="151"/>
      <c r="G128" s="152">
        <f>SUMIF(A123:A127,$B$1,G123:G127)</f>
        <v>0</v>
      </c>
      <c r="H128" s="152">
        <f>SUMIF(A123:A127,$B$1,H123:H127)</f>
        <v>0</v>
      </c>
      <c r="I128" s="152">
        <f>SUM(I123:I127)</f>
        <v>0</v>
      </c>
      <c r="J128" s="152"/>
      <c r="K128" s="152"/>
      <c r="L128" s="153">
        <f>SUMIF(A123:A127,$B$1,L123:L127)</f>
        <v>0</v>
      </c>
      <c r="M128" s="153">
        <f>SUMIF(A123:A127,$B$1,M123:M127)</f>
        <v>0</v>
      </c>
      <c r="N128" s="152"/>
      <c r="O128" s="152"/>
      <c r="P128" s="152"/>
      <c r="Q128" s="152"/>
      <c r="R128" s="152"/>
      <c r="S128" s="152"/>
      <c r="T128" s="152"/>
      <c r="U128" s="151"/>
      <c r="V128" s="151"/>
      <c r="W128" s="151"/>
      <c r="X128" s="152"/>
      <c r="Y128" s="152"/>
      <c r="Z128" s="151"/>
      <c r="AA128" s="151"/>
      <c r="AB128" s="151"/>
      <c r="AC128" s="154"/>
      <c r="AD128" s="155"/>
      <c r="AE128" s="156"/>
      <c r="AF128" s="152"/>
      <c r="AG128" s="157"/>
      <c r="AH128" s="296"/>
      <c r="AI128" s="156"/>
      <c r="AJ128" s="156"/>
      <c r="AK128" s="152"/>
      <c r="AL128" s="157"/>
      <c r="AM128" s="297">
        <f>COUNTA(AM123:AM127)</f>
        <v>0</v>
      </c>
      <c r="AN128" s="160">
        <f>SUM(AN123:AN127)</f>
        <v>0</v>
      </c>
      <c r="AO128" s="152">
        <f>SUM(AO123:AO127)</f>
        <v>0</v>
      </c>
      <c r="AP128" s="161"/>
      <c r="AQ128" s="151"/>
      <c r="AR128" s="151"/>
      <c r="AS128" s="151"/>
      <c r="AT128" s="151"/>
      <c r="AU128" s="151"/>
      <c r="AV128" s="151"/>
      <c r="AW128" s="151"/>
      <c r="AX128" s="163">
        <f>SUM(AX123:AX127)</f>
        <v>0</v>
      </c>
      <c r="AY128" s="163">
        <f>SUM(AY123:AY127)</f>
        <v>0</v>
      </c>
      <c r="AZ128" s="163">
        <f>SUM(AZ123:AZ127)</f>
        <v>0</v>
      </c>
      <c r="BA128" s="221" t="str">
        <f>IF(COUNT(BA123:BA127)=0,"-",AVERAGE(BA123:BA127))</f>
        <v>-</v>
      </c>
      <c r="BB128" s="1386"/>
      <c r="BC128" s="341"/>
      <c r="BD128" s="340"/>
      <c r="BE128" s="341"/>
      <c r="BF128" s="895"/>
      <c r="BG128" s="895"/>
      <c r="BH128" s="895"/>
      <c r="BI128" s="895"/>
      <c r="BJ128" s="895"/>
      <c r="BK128" s="895"/>
      <c r="BL128" s="895"/>
      <c r="BM128" s="895"/>
      <c r="BN128" s="341"/>
      <c r="BO128" s="1590"/>
      <c r="BP128" s="1591"/>
      <c r="BQ128" s="898"/>
      <c r="BR128" s="899"/>
      <c r="BS128" s="871"/>
      <c r="BT128" s="571"/>
      <c r="BU128" s="573"/>
      <c r="BV128" s="575"/>
      <c r="BW128" s="171"/>
      <c r="BX128" s="548"/>
      <c r="BY128" s="173">
        <f>AM128</f>
        <v>0</v>
      </c>
      <c r="BZ128" s="173">
        <f>COUNTIF(BZ123:BZ127,"=0")</f>
        <v>0</v>
      </c>
      <c r="CA128" s="174">
        <f>SUM(COUNTIF(BZ123:BZ127,"&lt;0"),COUNTIF(BZ123:BZ127,"&gt;0"))</f>
        <v>0</v>
      </c>
      <c r="CB128" s="225"/>
      <c r="CC128" s="226"/>
      <c r="CD128" s="227"/>
      <c r="CE128" s="228"/>
      <c r="CF128" s="178"/>
      <c r="CK128" s="1361"/>
      <c r="CL128" s="1315"/>
      <c r="CM128" s="1315"/>
      <c r="CN128" s="1315"/>
      <c r="CO128" s="1315"/>
      <c r="CP128" s="1315"/>
      <c r="CQ128" s="1315"/>
      <c r="CR128" s="1315"/>
      <c r="CS128" s="1361"/>
      <c r="CT128" s="1315"/>
      <c r="CU128" s="602"/>
    </row>
    <row r="129" spans="1:99" ht="30" hidden="1" customHeight="1" outlineLevel="1">
      <c r="A129" s="179" t="s">
        <v>87</v>
      </c>
      <c r="B129" s="180">
        <f>COUNT(A123:A127)</f>
        <v>0</v>
      </c>
      <c r="C129" s="181"/>
      <c r="D129" s="182"/>
      <c r="E129" s="182"/>
      <c r="F129" s="182"/>
      <c r="G129" s="184">
        <f>SUM(G123:G127)</f>
        <v>0</v>
      </c>
      <c r="H129" s="184">
        <f>SUMIF(A123:A127,"&gt;0",H123:H127)</f>
        <v>0</v>
      </c>
      <c r="I129" s="184"/>
      <c r="J129" s="184">
        <f>SUM(J123:J127)</f>
        <v>0</v>
      </c>
      <c r="K129" s="184"/>
      <c r="L129" s="184"/>
      <c r="M129" s="184"/>
      <c r="N129" s="184"/>
      <c r="O129" s="184"/>
      <c r="P129" s="184"/>
      <c r="Q129" s="184"/>
      <c r="R129" s="185"/>
      <c r="S129" s="185">
        <f>SUMIF(AE123:AE127,"переход",S123:S127)</f>
        <v>0</v>
      </c>
      <c r="T129" s="185"/>
      <c r="U129" s="182"/>
      <c r="V129" s="182"/>
      <c r="W129" s="182"/>
      <c r="X129" s="185">
        <f>SUMIF(AK123:AK127,"перех.",X123:X127)</f>
        <v>0</v>
      </c>
      <c r="Y129" s="185"/>
      <c r="Z129" s="182"/>
      <c r="AA129" s="182"/>
      <c r="AB129" s="182"/>
      <c r="AC129" s="186"/>
      <c r="AD129" s="186"/>
      <c r="AE129" s="186"/>
      <c r="AF129" s="184">
        <f>COUNT(AG123:AG127)</f>
        <v>0</v>
      </c>
      <c r="AG129" s="191">
        <f>SUM(AG123:AG127)</f>
        <v>0</v>
      </c>
      <c r="AH129" s="186"/>
      <c r="AI129" s="186"/>
      <c r="AJ129" s="186"/>
      <c r="AK129" s="184"/>
      <c r="AL129" s="184"/>
      <c r="AM129" s="182"/>
      <c r="AN129" s="182"/>
      <c r="AO129" s="182"/>
      <c r="AP129" s="187"/>
      <c r="AQ129" s="182"/>
      <c r="AR129" s="182"/>
      <c r="AS129" s="182"/>
      <c r="AT129" s="182"/>
      <c r="AU129" s="182"/>
      <c r="AV129" s="182"/>
      <c r="AW129" s="182"/>
      <c r="AX129" s="184"/>
      <c r="AY129" s="184"/>
      <c r="AZ129" s="184"/>
      <c r="BA129" s="184"/>
      <c r="BB129" s="188">
        <f>SUM(BB123:BB127)</f>
        <v>0</v>
      </c>
      <c r="BC129" s="476"/>
      <c r="BD129" s="535"/>
      <c r="BE129" s="476"/>
      <c r="BF129" s="900"/>
      <c r="BG129" s="900"/>
      <c r="BH129" s="900"/>
      <c r="BI129" s="900"/>
      <c r="BJ129" s="900"/>
      <c r="BK129" s="900"/>
      <c r="BL129" s="900"/>
      <c r="BM129" s="900"/>
      <c r="BN129" s="307"/>
      <c r="BO129" s="901"/>
      <c r="BP129" s="1588"/>
      <c r="BQ129" s="875"/>
      <c r="BR129" s="875"/>
      <c r="BS129" s="474"/>
      <c r="BT129" s="852"/>
      <c r="BU129" s="852"/>
      <c r="BV129" s="852"/>
      <c r="BW129" s="360"/>
      <c r="BX129" s="230"/>
      <c r="BY129" s="197">
        <f>SUM(BY123:BY127)</f>
        <v>0</v>
      </c>
      <c r="BZ129" s="197">
        <f>SUMIF(BZ123:BZ127,"=0",CA123:CA127)</f>
        <v>0</v>
      </c>
      <c r="CA129" s="198" t="e">
        <f>SUMIF(BZ123:BZ127,"&lt;&gt;0",CA123:CA127)</f>
        <v>#N/A</v>
      </c>
      <c r="CB129" s="197"/>
      <c r="CC129" s="197"/>
      <c r="CD129" s="197"/>
      <c r="CE129" s="197"/>
      <c r="CF129" s="202"/>
      <c r="CK129" s="1361"/>
      <c r="CL129" s="1315"/>
      <c r="CM129" s="1315"/>
      <c r="CN129" s="1315"/>
      <c r="CO129" s="1315"/>
      <c r="CP129" s="1315"/>
      <c r="CQ129" s="1315"/>
      <c r="CR129" s="1315"/>
      <c r="CS129" s="1361"/>
      <c r="CT129" s="1315"/>
      <c r="CU129" s="602"/>
    </row>
    <row r="130" spans="1:99" ht="30" hidden="1" customHeight="1" outlineLevel="1">
      <c r="A130" s="804"/>
      <c r="B130" s="805"/>
      <c r="C130" s="805"/>
      <c r="D130" s="805"/>
      <c r="E130" s="805"/>
      <c r="F130" s="806"/>
      <c r="G130" s="805"/>
      <c r="H130" s="805"/>
      <c r="I130" s="805"/>
      <c r="J130" s="805"/>
      <c r="K130" s="805"/>
      <c r="L130" s="805"/>
      <c r="M130" s="805"/>
      <c r="N130" s="805"/>
      <c r="O130" s="805"/>
      <c r="P130" s="805"/>
      <c r="Q130" s="805"/>
      <c r="R130" s="805"/>
      <c r="S130" s="805"/>
      <c r="T130" s="805"/>
      <c r="U130" s="805"/>
      <c r="V130" s="805"/>
      <c r="W130" s="805"/>
      <c r="X130" s="805"/>
      <c r="Y130" s="805"/>
      <c r="Z130" s="805"/>
      <c r="AA130" s="805"/>
      <c r="AB130" s="805"/>
      <c r="AC130" s="808"/>
      <c r="AD130" s="808"/>
      <c r="AE130" s="808"/>
      <c r="AF130" s="809"/>
      <c r="AG130" s="809"/>
      <c r="AH130" s="810"/>
      <c r="AI130" s="808"/>
      <c r="AJ130" s="808"/>
      <c r="AK130" s="809"/>
      <c r="AL130" s="809"/>
      <c r="AM130" s="805"/>
      <c r="AN130" s="805"/>
      <c r="AO130" s="805"/>
      <c r="AP130" s="805"/>
      <c r="AQ130" s="805"/>
      <c r="AR130" s="805"/>
      <c r="AS130" s="805"/>
      <c r="AT130" s="805"/>
      <c r="AU130" s="805"/>
      <c r="AV130" s="805"/>
      <c r="AW130" s="805"/>
      <c r="AX130" s="805"/>
      <c r="AY130" s="805"/>
      <c r="AZ130" s="805"/>
      <c r="BA130" s="805"/>
      <c r="BB130" s="805"/>
      <c r="BC130" s="812"/>
      <c r="BD130" s="813"/>
      <c r="BE130" s="813"/>
      <c r="BF130" s="902"/>
      <c r="BG130" s="902"/>
      <c r="BH130" s="902"/>
      <c r="BI130" s="902"/>
      <c r="BJ130" s="902"/>
      <c r="BK130" s="902"/>
      <c r="BL130" s="902"/>
      <c r="BM130" s="902"/>
      <c r="BN130" s="379"/>
      <c r="BP130" s="1501"/>
      <c r="BQ130" s="854"/>
      <c r="BR130" s="854"/>
      <c r="BS130" s="855"/>
      <c r="BT130" s="856"/>
      <c r="BU130" s="856"/>
      <c r="BV130" s="856"/>
      <c r="BW130" s="52"/>
      <c r="BX130" s="53"/>
      <c r="BY130" s="53"/>
      <c r="BZ130" s="53"/>
      <c r="CA130" s="206"/>
      <c r="CB130" s="216"/>
      <c r="CC130" s="268"/>
      <c r="CD130" s="216"/>
      <c r="CE130" s="268"/>
      <c r="CF130" s="701"/>
      <c r="CK130" s="1361"/>
      <c r="CL130" s="1315"/>
      <c r="CM130" s="1315"/>
      <c r="CN130" s="1315"/>
      <c r="CO130" s="1315"/>
      <c r="CP130" s="1315"/>
      <c r="CQ130" s="1315"/>
      <c r="CR130" s="1315"/>
      <c r="CS130" s="1361"/>
      <c r="CT130" s="1315"/>
      <c r="CU130" s="602"/>
    </row>
    <row r="131" spans="1:99" ht="30" hidden="1" customHeight="1" outlineLevel="1" collapsed="1">
      <c r="A131" s="2143" t="s">
        <v>256</v>
      </c>
      <c r="B131" s="2143"/>
      <c r="C131" s="2143"/>
      <c r="D131" s="2143"/>
      <c r="E131" s="2143"/>
      <c r="F131" s="2143"/>
      <c r="G131" s="362"/>
      <c r="H131" s="362"/>
      <c r="I131" s="362"/>
      <c r="J131" s="362"/>
      <c r="K131" s="362"/>
      <c r="L131" s="362"/>
      <c r="M131" s="362"/>
      <c r="N131" s="362"/>
      <c r="O131" s="362"/>
      <c r="P131" s="362"/>
      <c r="Q131" s="362"/>
      <c r="R131" s="362"/>
      <c r="S131" s="362"/>
      <c r="T131" s="362"/>
      <c r="U131" s="362"/>
      <c r="V131" s="362"/>
      <c r="W131" s="362"/>
      <c r="X131" s="362"/>
      <c r="Y131" s="362"/>
      <c r="Z131" s="362"/>
      <c r="AA131" s="362"/>
      <c r="AB131" s="362"/>
      <c r="AC131" s="362"/>
      <c r="AD131" s="362"/>
      <c r="AE131" s="362"/>
      <c r="AF131" s="362"/>
      <c r="AG131" s="362"/>
      <c r="AH131" s="362"/>
      <c r="AI131" s="362"/>
      <c r="AJ131" s="362"/>
      <c r="AK131" s="362"/>
      <c r="AL131" s="362"/>
      <c r="AM131" s="362"/>
      <c r="AN131" s="362"/>
      <c r="AO131" s="362"/>
      <c r="AP131" s="362"/>
      <c r="AQ131" s="362"/>
      <c r="AR131" s="362"/>
      <c r="AS131" s="362"/>
      <c r="AT131" s="362"/>
      <c r="AU131" s="362"/>
      <c r="AV131" s="362"/>
      <c r="AW131" s="362"/>
      <c r="AX131" s="362"/>
      <c r="AY131" s="362"/>
      <c r="AZ131" s="362"/>
      <c r="BA131" s="362"/>
      <c r="BB131" s="362"/>
      <c r="BC131" s="363"/>
      <c r="BD131" s="364"/>
      <c r="BE131" s="364"/>
      <c r="BF131" s="903"/>
      <c r="BG131" s="903"/>
      <c r="BH131" s="903"/>
      <c r="BI131" s="903"/>
      <c r="BJ131" s="903"/>
      <c r="BK131" s="903"/>
      <c r="BL131" s="903"/>
      <c r="BM131" s="903"/>
      <c r="BN131" s="364"/>
      <c r="BO131" s="1592"/>
      <c r="BP131" s="1390"/>
      <c r="BQ131" s="97"/>
      <c r="BR131" s="97"/>
      <c r="BS131" s="100"/>
      <c r="BT131" s="97"/>
      <c r="BU131" s="97"/>
      <c r="BV131" s="97"/>
      <c r="BW131" s="369"/>
      <c r="BX131" s="365"/>
      <c r="BY131" s="365"/>
      <c r="BZ131" s="365"/>
      <c r="CA131" s="244"/>
      <c r="CB131" s="905"/>
      <c r="CC131" s="820"/>
      <c r="CD131" s="905"/>
      <c r="CE131" s="820"/>
      <c r="CF131" s="371"/>
      <c r="CK131" s="1361"/>
      <c r="CL131" s="1315"/>
      <c r="CM131" s="1315"/>
      <c r="CN131" s="1315"/>
      <c r="CO131" s="1315"/>
      <c r="CP131" s="1315"/>
      <c r="CQ131" s="1315"/>
      <c r="CR131" s="1315"/>
      <c r="CS131" s="1361"/>
      <c r="CT131" s="1315"/>
      <c r="CU131" s="602"/>
    </row>
    <row r="132" spans="1:99" ht="30" hidden="1" customHeight="1" outlineLevel="1">
      <c r="A132" s="310"/>
      <c r="B132" s="247"/>
      <c r="C132" s="247"/>
      <c r="D132" s="62"/>
      <c r="E132" s="62"/>
      <c r="F132" s="247"/>
      <c r="G132" s="80">
        <f>M132-S132</f>
        <v>0</v>
      </c>
      <c r="H132" s="80">
        <f>M132-S132</f>
        <v>0</v>
      </c>
      <c r="I132" s="80">
        <f>IF($B$2&gt;=A132,($B$2-A132+1)*H132,"-")</f>
        <v>0</v>
      </c>
      <c r="J132" s="65">
        <f>($A$2-A132+1)*H132</f>
        <v>0</v>
      </c>
      <c r="K132" s="271"/>
      <c r="L132" s="252">
        <f ca="1">IF((AC132)&lt;$L$2-DAY($L$2)+1,H132,H132+S132)</f>
        <v>0</v>
      </c>
      <c r="M132" s="68"/>
      <c r="N132" s="68"/>
      <c r="O132" s="70"/>
      <c r="P132" s="70"/>
      <c r="Q132" s="70"/>
      <c r="R132" s="249"/>
      <c r="S132" s="250"/>
      <c r="T132" s="70"/>
      <c r="U132" s="70"/>
      <c r="V132" s="70"/>
      <c r="W132" s="70"/>
      <c r="X132" s="250"/>
      <c r="Y132" s="70"/>
      <c r="Z132" s="70"/>
      <c r="AA132" s="70"/>
      <c r="AB132" s="274" t="s">
        <v>257</v>
      </c>
      <c r="AC132" s="724"/>
      <c r="AD132" s="135"/>
      <c r="AE132" s="555">
        <f>AD132</f>
        <v>0</v>
      </c>
      <c r="AF132" s="74"/>
      <c r="AG132" s="75"/>
      <c r="AH132" s="319"/>
      <c r="AI132" s="288"/>
      <c r="AJ132" s="288"/>
      <c r="AK132" s="74"/>
      <c r="AL132" s="75"/>
      <c r="AM132" s="78"/>
      <c r="AN132" s="74"/>
      <c r="AO132" s="63"/>
      <c r="AP132" s="74"/>
      <c r="AQ132" s="80"/>
      <c r="AR132" s="68"/>
      <c r="AS132" s="68"/>
      <c r="AT132" s="68"/>
      <c r="AU132" s="68"/>
      <c r="AV132" s="258"/>
      <c r="AW132" s="843"/>
      <c r="AX132" s="311" t="str">
        <f>IF(AN132&lt;1,"-",AN132-BR132)</f>
        <v>-</v>
      </c>
      <c r="AY132" s="63" t="str">
        <f>IF(AX132="-","-",($B$2-AM132+1)*AX132)</f>
        <v>-</v>
      </c>
      <c r="AZ132" s="63" t="str">
        <f>IF(AX132="-","-",AX132-H132)</f>
        <v>-</v>
      </c>
      <c r="BA132" s="312" t="str">
        <f>IF(AX132="-","-",AX132/(G132*0.9))</f>
        <v>-</v>
      </c>
      <c r="BB132" s="516"/>
      <c r="BC132" s="933"/>
      <c r="BD132" s="703"/>
      <c r="BE132" s="90" t="s">
        <v>239</v>
      </c>
      <c r="BF132" s="457">
        <v>9.86</v>
      </c>
      <c r="BG132" s="450">
        <v>19</v>
      </c>
      <c r="BH132" s="450">
        <v>40</v>
      </c>
      <c r="BI132" s="91">
        <v>2100</v>
      </c>
      <c r="BJ132" s="91"/>
      <c r="BK132" s="91">
        <v>50</v>
      </c>
      <c r="BL132" s="450">
        <f>IF(BF132=0,"-",BF132-AN132)</f>
        <v>9.86</v>
      </c>
      <c r="BM132" s="457">
        <f>IF(BG132=0,"-",BG132-AO132)</f>
        <v>19</v>
      </c>
      <c r="BN132" s="94" t="e">
        <f>IF(BL132="-","-",AX132+BL132)</f>
        <v>#VALUE!</v>
      </c>
      <c r="BO132" s="1319" t="e">
        <f>IF(BL132="-","-",(($B$2-AM132+1)*(AX132+BL132)))</f>
        <v>#VALUE!</v>
      </c>
      <c r="BP132" s="1485">
        <f>AC132</f>
        <v>0</v>
      </c>
      <c r="BQ132" s="131"/>
      <c r="BR132" s="132"/>
      <c r="BS132" s="99"/>
      <c r="BT132" s="284">
        <f>S132</f>
        <v>0</v>
      </c>
      <c r="BU132" s="214">
        <f>AG132</f>
        <v>0</v>
      </c>
      <c r="BV132" s="214" t="str">
        <f>IF(AE132&gt;$CC$7,S132,IF(AE132="перех",(S132),"-"))</f>
        <v>-</v>
      </c>
      <c r="BW132" s="1469"/>
      <c r="BX132" s="1470"/>
      <c r="BY132" s="1471"/>
      <c r="BZ132" s="190"/>
      <c r="CA132" s="1472"/>
      <c r="CB132" s="1473"/>
      <c r="CC132" s="1474"/>
      <c r="CD132" s="1475"/>
      <c r="CE132" s="1476"/>
      <c r="CF132" s="1593" t="s">
        <v>127</v>
      </c>
      <c r="CK132" s="1361"/>
      <c r="CL132" s="1315"/>
      <c r="CM132" s="1315"/>
      <c r="CN132" s="1315"/>
      <c r="CO132" s="1315"/>
      <c r="CP132" s="1315"/>
      <c r="CQ132" s="1315"/>
      <c r="CR132" s="1315"/>
      <c r="CS132" s="1361"/>
      <c r="CT132" s="1315"/>
      <c r="CU132" s="602"/>
    </row>
    <row r="133" spans="1:99" ht="30" hidden="1" customHeight="1" outlineLevel="1">
      <c r="A133" s="484"/>
      <c r="B133" s="247"/>
      <c r="C133" s="247"/>
      <c r="D133" s="62"/>
      <c r="E133" s="62"/>
      <c r="F133" s="247"/>
      <c r="G133" s="80"/>
      <c r="H133" s="80"/>
      <c r="I133" s="80"/>
      <c r="J133" s="80"/>
      <c r="K133" s="271"/>
      <c r="L133" s="65"/>
      <c r="M133" s="68"/>
      <c r="N133" s="68"/>
      <c r="O133" s="68"/>
      <c r="P133" s="70"/>
      <c r="Q133" s="70"/>
      <c r="R133" s="249"/>
      <c r="S133" s="250"/>
      <c r="T133" s="70"/>
      <c r="U133" s="70"/>
      <c r="V133" s="70"/>
      <c r="W133" s="70"/>
      <c r="X133" s="250"/>
      <c r="Y133" s="70"/>
      <c r="Z133" s="70"/>
      <c r="AA133" s="70"/>
      <c r="AB133" s="274"/>
      <c r="AC133" s="724"/>
      <c r="AD133" s="135"/>
      <c r="AE133" s="555"/>
      <c r="AF133" s="74"/>
      <c r="AG133" s="75"/>
      <c r="AH133" s="319"/>
      <c r="AI133" s="288"/>
      <c r="AJ133" s="77"/>
      <c r="AK133" s="74"/>
      <c r="AL133" s="75"/>
      <c r="AM133" s="78"/>
      <c r="AN133" s="74"/>
      <c r="AO133" s="256"/>
      <c r="AP133" s="74"/>
      <c r="AQ133" s="80"/>
      <c r="AR133" s="247"/>
      <c r="AS133" s="247"/>
      <c r="AT133" s="247"/>
      <c r="AU133" s="317"/>
      <c r="AV133" s="387"/>
      <c r="AW133" s="843"/>
      <c r="AX133" s="84"/>
      <c r="AY133" s="64"/>
      <c r="AZ133" s="64"/>
      <c r="BA133" s="64"/>
      <c r="BB133" s="516"/>
      <c r="BC133" s="933"/>
      <c r="BD133" s="703"/>
      <c r="BE133" s="90" t="s">
        <v>239</v>
      </c>
      <c r="BF133" s="457"/>
      <c r="BG133" s="450"/>
      <c r="BH133" s="450"/>
      <c r="BI133" s="91"/>
      <c r="BJ133" s="91"/>
      <c r="BK133" s="91"/>
      <c r="BL133" s="450"/>
      <c r="BM133" s="457"/>
      <c r="BN133" s="94"/>
      <c r="BO133" s="1319"/>
      <c r="BP133" s="1388"/>
      <c r="BQ133" s="131"/>
      <c r="BR133" s="132"/>
      <c r="BS133" s="99"/>
      <c r="BT133" s="385"/>
      <c r="BU133" s="214"/>
      <c r="BV133" s="214"/>
      <c r="BW133" s="101"/>
      <c r="BX133" s="102"/>
      <c r="BY133" s="103"/>
      <c r="BZ133" s="104"/>
      <c r="CA133" s="105"/>
      <c r="CB133" s="106"/>
      <c r="CC133" s="107"/>
      <c r="CD133" s="108"/>
      <c r="CE133" s="377"/>
      <c r="CF133" s="394" t="s">
        <v>127</v>
      </c>
      <c r="CK133" s="1361"/>
      <c r="CL133" s="1315"/>
      <c r="CM133" s="1315"/>
      <c r="CN133" s="1315"/>
      <c r="CO133" s="1315"/>
      <c r="CP133" s="1315"/>
      <c r="CQ133" s="1315"/>
      <c r="CR133" s="1315"/>
      <c r="CS133" s="1361"/>
      <c r="CT133" s="1315"/>
      <c r="CU133" s="602"/>
    </row>
    <row r="134" spans="1:99" ht="30" hidden="1" customHeight="1" outlineLevel="1">
      <c r="A134" s="484"/>
      <c r="B134" s="247"/>
      <c r="C134" s="247"/>
      <c r="D134" s="62"/>
      <c r="E134" s="62"/>
      <c r="F134" s="247"/>
      <c r="G134" s="80"/>
      <c r="H134" s="80"/>
      <c r="I134" s="80"/>
      <c r="J134" s="80"/>
      <c r="K134" s="271"/>
      <c r="L134" s="65"/>
      <c r="M134" s="68"/>
      <c r="N134" s="68"/>
      <c r="O134" s="70"/>
      <c r="P134" s="70"/>
      <c r="Q134" s="70"/>
      <c r="R134" s="249"/>
      <c r="S134" s="250"/>
      <c r="T134" s="70"/>
      <c r="U134" s="70"/>
      <c r="V134" s="70"/>
      <c r="W134" s="70"/>
      <c r="X134" s="250"/>
      <c r="Y134" s="70"/>
      <c r="Z134" s="70"/>
      <c r="AA134" s="70"/>
      <c r="AB134" s="274"/>
      <c r="AC134" s="724"/>
      <c r="AD134" s="135"/>
      <c r="AE134" s="555"/>
      <c r="AF134" s="74"/>
      <c r="AG134" s="75"/>
      <c r="AH134" s="319"/>
      <c r="AI134" s="288"/>
      <c r="AJ134" s="77"/>
      <c r="AK134" s="74"/>
      <c r="AL134" s="75"/>
      <c r="AM134" s="78"/>
      <c r="AN134" s="74"/>
      <c r="AO134" s="256"/>
      <c r="AP134" s="74"/>
      <c r="AQ134" s="80"/>
      <c r="AR134" s="247"/>
      <c r="AS134" s="247"/>
      <c r="AT134" s="247"/>
      <c r="AU134" s="317"/>
      <c r="AV134" s="387"/>
      <c r="AW134" s="448"/>
      <c r="AX134" s="84"/>
      <c r="AY134" s="64"/>
      <c r="AZ134" s="64"/>
      <c r="BA134" s="64"/>
      <c r="BB134" s="516"/>
      <c r="BC134" s="933"/>
      <c r="BD134" s="703"/>
      <c r="BE134" s="703"/>
      <c r="BF134" s="457"/>
      <c r="BG134" s="450"/>
      <c r="BH134" s="450"/>
      <c r="BI134" s="91"/>
      <c r="BJ134" s="91"/>
      <c r="BK134" s="91"/>
      <c r="BL134" s="450"/>
      <c r="BM134" s="457"/>
      <c r="BN134" s="94"/>
      <c r="BO134" s="1319"/>
      <c r="BP134" s="1388"/>
      <c r="BQ134" s="131"/>
      <c r="BR134" s="132"/>
      <c r="BS134" s="99"/>
      <c r="BT134" s="385"/>
      <c r="BU134" s="214"/>
      <c r="BV134" s="214"/>
      <c r="BW134" s="101"/>
      <c r="BX134" s="102"/>
      <c r="BY134" s="103"/>
      <c r="BZ134" s="104"/>
      <c r="CA134" s="105"/>
      <c r="CB134" s="106"/>
      <c r="CC134" s="107"/>
      <c r="CD134" s="108"/>
      <c r="CE134" s="377"/>
      <c r="CF134" s="394" t="s">
        <v>127</v>
      </c>
      <c r="CK134" s="1361"/>
      <c r="CL134" s="1315"/>
      <c r="CM134" s="1315"/>
      <c r="CN134" s="1315"/>
      <c r="CO134" s="1315"/>
      <c r="CP134" s="1315"/>
      <c r="CQ134" s="1315"/>
      <c r="CR134" s="1315"/>
      <c r="CS134" s="1361"/>
      <c r="CT134" s="1315"/>
      <c r="CU134" s="602"/>
    </row>
    <row r="135" spans="1:99" ht="30" hidden="1" customHeight="1" outlineLevel="1">
      <c r="A135" s="484"/>
      <c r="B135" s="247"/>
      <c r="C135" s="247"/>
      <c r="D135" s="248"/>
      <c r="E135" s="248"/>
      <c r="F135" s="247"/>
      <c r="G135" s="80"/>
      <c r="H135" s="80"/>
      <c r="I135" s="80"/>
      <c r="J135" s="80"/>
      <c r="K135" s="271"/>
      <c r="L135" s="889"/>
      <c r="M135" s="68"/>
      <c r="N135" s="68"/>
      <c r="O135" s="70"/>
      <c r="P135" s="70"/>
      <c r="Q135" s="70"/>
      <c r="R135" s="249"/>
      <c r="S135" s="250"/>
      <c r="T135" s="70"/>
      <c r="U135" s="70"/>
      <c r="V135" s="70"/>
      <c r="W135" s="70"/>
      <c r="X135" s="250"/>
      <c r="Y135" s="70"/>
      <c r="Z135" s="70"/>
      <c r="AA135" s="70"/>
      <c r="AB135" s="890"/>
      <c r="AC135" s="906"/>
      <c r="AD135" s="135"/>
      <c r="AE135" s="555"/>
      <c r="AF135" s="74"/>
      <c r="AG135" s="75"/>
      <c r="AH135" s="319"/>
      <c r="AI135" s="288"/>
      <c r="AJ135" s="77"/>
      <c r="AK135" s="74"/>
      <c r="AL135" s="75"/>
      <c r="AM135" s="78"/>
      <c r="AN135" s="74"/>
      <c r="AO135" s="256"/>
      <c r="AP135" s="74"/>
      <c r="AQ135" s="80"/>
      <c r="AR135" s="247"/>
      <c r="AS135" s="247"/>
      <c r="AT135" s="247"/>
      <c r="AU135" s="317"/>
      <c r="AV135" s="387"/>
      <c r="AW135" s="448"/>
      <c r="AX135" s="84"/>
      <c r="AY135" s="64"/>
      <c r="AZ135" s="64"/>
      <c r="BA135" s="64"/>
      <c r="BB135" s="516"/>
      <c r="BC135" s="1484"/>
      <c r="BD135" s="703"/>
      <c r="BE135" s="703"/>
      <c r="BF135" s="457"/>
      <c r="BG135" s="450"/>
      <c r="BH135" s="450"/>
      <c r="BI135" s="91"/>
      <c r="BJ135" s="91"/>
      <c r="BK135" s="91"/>
      <c r="BL135" s="450"/>
      <c r="BM135" s="457"/>
      <c r="BN135" s="94"/>
      <c r="BO135" s="1319"/>
      <c r="BP135" s="1388"/>
      <c r="BQ135" s="131"/>
      <c r="BR135" s="132"/>
      <c r="BS135" s="99"/>
      <c r="BT135" s="385"/>
      <c r="BU135" s="214"/>
      <c r="BV135" s="214"/>
      <c r="BW135" s="101"/>
      <c r="BX135" s="102"/>
      <c r="BY135" s="103"/>
      <c r="BZ135" s="104"/>
      <c r="CA135" s="105"/>
      <c r="CB135" s="106"/>
      <c r="CC135" s="107"/>
      <c r="CD135" s="108"/>
      <c r="CE135" s="377"/>
      <c r="CF135" s="394" t="s">
        <v>127</v>
      </c>
      <c r="CK135" s="1361"/>
      <c r="CL135" s="1315"/>
      <c r="CM135" s="1315"/>
      <c r="CN135" s="1315"/>
      <c r="CO135" s="1315"/>
      <c r="CP135" s="1315"/>
      <c r="CQ135" s="1315"/>
      <c r="CR135" s="1315"/>
      <c r="CS135" s="1361"/>
      <c r="CT135" s="1315"/>
      <c r="CU135" s="602"/>
    </row>
    <row r="136" spans="1:99" ht="30" hidden="1" customHeight="1" outlineLevel="1">
      <c r="A136" s="484"/>
      <c r="B136" s="247"/>
      <c r="C136" s="247"/>
      <c r="D136" s="248"/>
      <c r="E136" s="248"/>
      <c r="F136" s="247"/>
      <c r="G136" s="80"/>
      <c r="H136" s="322"/>
      <c r="I136" s="80"/>
      <c r="J136" s="80"/>
      <c r="K136" s="271"/>
      <c r="L136" s="80"/>
      <c r="M136" s="68"/>
      <c r="N136" s="68"/>
      <c r="O136" s="70"/>
      <c r="P136" s="70"/>
      <c r="Q136" s="70"/>
      <c r="R136" s="249"/>
      <c r="S136" s="250"/>
      <c r="T136" s="70"/>
      <c r="U136" s="70"/>
      <c r="V136" s="70"/>
      <c r="W136" s="70"/>
      <c r="X136" s="250"/>
      <c r="Y136" s="70"/>
      <c r="Z136" s="70"/>
      <c r="AA136" s="70"/>
      <c r="AB136" s="274"/>
      <c r="AC136" s="906"/>
      <c r="AD136" s="135"/>
      <c r="AE136" s="555"/>
      <c r="AF136" s="74"/>
      <c r="AG136" s="75"/>
      <c r="AH136" s="319"/>
      <c r="AI136" s="288"/>
      <c r="AJ136" s="77"/>
      <c r="AK136" s="74"/>
      <c r="AL136" s="75"/>
      <c r="AM136" s="78"/>
      <c r="AN136" s="74"/>
      <c r="AO136" s="256"/>
      <c r="AP136" s="74"/>
      <c r="AQ136" s="80"/>
      <c r="AR136" s="247"/>
      <c r="AS136" s="247"/>
      <c r="AT136" s="247"/>
      <c r="AU136" s="317"/>
      <c r="AV136" s="387"/>
      <c r="AW136" s="448"/>
      <c r="AX136" s="84"/>
      <c r="AY136" s="64"/>
      <c r="AZ136" s="64"/>
      <c r="BA136" s="64"/>
      <c r="BB136" s="516"/>
      <c r="BC136" s="1427"/>
      <c r="BD136" s="703"/>
      <c r="BE136" s="90" t="s">
        <v>234</v>
      </c>
      <c r="BF136" s="457"/>
      <c r="BG136" s="450"/>
      <c r="BH136" s="450"/>
      <c r="BI136" s="91"/>
      <c r="BJ136" s="91"/>
      <c r="BK136" s="91"/>
      <c r="BL136" s="450"/>
      <c r="BM136" s="457"/>
      <c r="BN136" s="94"/>
      <c r="BO136" s="1319"/>
      <c r="BP136" s="1388"/>
      <c r="BQ136" s="131"/>
      <c r="BR136" s="132"/>
      <c r="BS136" s="99"/>
      <c r="BT136" s="385"/>
      <c r="BU136" s="214"/>
      <c r="BV136" s="214"/>
      <c r="BW136" s="101"/>
      <c r="BX136" s="102"/>
      <c r="BY136" s="103"/>
      <c r="BZ136" s="104"/>
      <c r="CA136" s="105"/>
      <c r="CB136" s="106"/>
      <c r="CC136" s="107"/>
      <c r="CD136" s="108"/>
      <c r="CE136" s="377"/>
      <c r="CF136" s="394" t="s">
        <v>127</v>
      </c>
      <c r="CK136" s="1361"/>
      <c r="CL136" s="1315"/>
      <c r="CM136" s="1315"/>
      <c r="CN136" s="1315"/>
      <c r="CO136" s="1315"/>
      <c r="CP136" s="1315"/>
      <c r="CQ136" s="1315"/>
      <c r="CR136" s="1315"/>
      <c r="CS136" s="1361"/>
      <c r="CT136" s="1315"/>
      <c r="CU136" s="602"/>
    </row>
    <row r="137" spans="1:99" ht="30" hidden="1" customHeight="1" outlineLevel="1">
      <c r="A137" s="484"/>
      <c r="B137" s="247"/>
      <c r="C137" s="247"/>
      <c r="D137" s="62"/>
      <c r="E137" s="62"/>
      <c r="F137" s="247"/>
      <c r="G137" s="80"/>
      <c r="H137" s="322"/>
      <c r="I137" s="80"/>
      <c r="J137" s="80"/>
      <c r="K137" s="271"/>
      <c r="L137" s="80"/>
      <c r="M137" s="68"/>
      <c r="N137" s="68"/>
      <c r="O137" s="70"/>
      <c r="P137" s="70"/>
      <c r="Q137" s="70"/>
      <c r="R137" s="249"/>
      <c r="S137" s="250"/>
      <c r="T137" s="70"/>
      <c r="U137" s="70"/>
      <c r="V137" s="70"/>
      <c r="W137" s="70"/>
      <c r="X137" s="250"/>
      <c r="Y137" s="70"/>
      <c r="Z137" s="70"/>
      <c r="AA137" s="70"/>
      <c r="AB137" s="274"/>
      <c r="AC137" s="724"/>
      <c r="AD137" s="135"/>
      <c r="AE137" s="135"/>
      <c r="AF137" s="74"/>
      <c r="AG137" s="75"/>
      <c r="AH137" s="319"/>
      <c r="AI137" s="288"/>
      <c r="AJ137" s="77"/>
      <c r="AK137" s="74"/>
      <c r="AL137" s="75"/>
      <c r="AM137" s="78"/>
      <c r="AN137" s="74"/>
      <c r="AO137" s="256"/>
      <c r="AP137" s="74"/>
      <c r="AQ137" s="80"/>
      <c r="AR137" s="247"/>
      <c r="AS137" s="247"/>
      <c r="AT137" s="247"/>
      <c r="AU137" s="317"/>
      <c r="AV137" s="387"/>
      <c r="AW137" s="448"/>
      <c r="AX137" s="84"/>
      <c r="AY137" s="64"/>
      <c r="AZ137" s="64"/>
      <c r="BA137" s="64"/>
      <c r="BB137" s="516"/>
      <c r="BC137" s="1427"/>
      <c r="BD137" s="703"/>
      <c r="BE137" s="703"/>
      <c r="BF137" s="457"/>
      <c r="BG137" s="450"/>
      <c r="BH137" s="450"/>
      <c r="BI137" s="91"/>
      <c r="BJ137" s="91"/>
      <c r="BK137" s="91"/>
      <c r="BL137" s="450"/>
      <c r="BM137" s="457"/>
      <c r="BN137" s="94"/>
      <c r="BO137" s="1319"/>
      <c r="BP137" s="1388"/>
      <c r="BQ137" s="131"/>
      <c r="BR137" s="132"/>
      <c r="BS137" s="99"/>
      <c r="BT137" s="385"/>
      <c r="BU137" s="214"/>
      <c r="BV137" s="214"/>
      <c r="BW137" s="101"/>
      <c r="BX137" s="102"/>
      <c r="BY137" s="103"/>
      <c r="BZ137" s="104"/>
      <c r="CA137" s="105"/>
      <c r="CB137" s="106"/>
      <c r="CC137" s="107"/>
      <c r="CD137" s="108"/>
      <c r="CE137" s="377"/>
      <c r="CF137" s="394"/>
      <c r="CK137" s="1361"/>
      <c r="CL137" s="1315"/>
      <c r="CM137" s="1315"/>
      <c r="CN137" s="1315"/>
      <c r="CO137" s="1315"/>
      <c r="CP137" s="1315"/>
      <c r="CQ137" s="1315"/>
      <c r="CR137" s="1315"/>
      <c r="CS137" s="1361"/>
      <c r="CT137" s="1315"/>
      <c r="CU137" s="602"/>
    </row>
    <row r="138" spans="1:99" ht="30" hidden="1" customHeight="1" outlineLevel="1">
      <c r="A138" s="484"/>
      <c r="B138" s="247"/>
      <c r="C138" s="247"/>
      <c r="D138" s="62"/>
      <c r="E138" s="62"/>
      <c r="F138" s="247"/>
      <c r="G138" s="80"/>
      <c r="H138" s="322"/>
      <c r="I138" s="80"/>
      <c r="J138" s="80"/>
      <c r="K138" s="271"/>
      <c r="L138" s="80"/>
      <c r="M138" s="68"/>
      <c r="N138" s="68"/>
      <c r="O138" s="70"/>
      <c r="P138" s="70"/>
      <c r="Q138" s="70"/>
      <c r="R138" s="249"/>
      <c r="S138" s="250"/>
      <c r="T138" s="70"/>
      <c r="U138" s="70"/>
      <c r="V138" s="70"/>
      <c r="W138" s="70"/>
      <c r="X138" s="250"/>
      <c r="Y138" s="70"/>
      <c r="Z138" s="70"/>
      <c r="AA138" s="70"/>
      <c r="AB138" s="274"/>
      <c r="AC138" s="724"/>
      <c r="AD138" s="135"/>
      <c r="AE138" s="135"/>
      <c r="AF138" s="74"/>
      <c r="AG138" s="75"/>
      <c r="AH138" s="319"/>
      <c r="AI138" s="288"/>
      <c r="AJ138" s="77"/>
      <c r="AK138" s="74"/>
      <c r="AL138" s="75"/>
      <c r="AM138" s="78"/>
      <c r="AN138" s="74"/>
      <c r="AO138" s="256"/>
      <c r="AP138" s="74"/>
      <c r="AQ138" s="80"/>
      <c r="AR138" s="247"/>
      <c r="AS138" s="247"/>
      <c r="AT138" s="247"/>
      <c r="AU138" s="317"/>
      <c r="AV138" s="387"/>
      <c r="AW138" s="448"/>
      <c r="AX138" s="84"/>
      <c r="AY138" s="64"/>
      <c r="AZ138" s="64"/>
      <c r="BA138" s="64"/>
      <c r="BB138" s="516"/>
      <c r="BC138" s="1427"/>
      <c r="BD138" s="703"/>
      <c r="BE138" s="703"/>
      <c r="BF138" s="457"/>
      <c r="BG138" s="450"/>
      <c r="BH138" s="450"/>
      <c r="BI138" s="91"/>
      <c r="BJ138" s="91"/>
      <c r="BK138" s="91"/>
      <c r="BL138" s="450"/>
      <c r="BM138" s="457"/>
      <c r="BN138" s="94"/>
      <c r="BO138" s="1319"/>
      <c r="BP138" s="1388"/>
      <c r="BQ138" s="131"/>
      <c r="BR138" s="132"/>
      <c r="BS138" s="99"/>
      <c r="BT138" s="385"/>
      <c r="BU138" s="214"/>
      <c r="BV138" s="214"/>
      <c r="BW138" s="101"/>
      <c r="BX138" s="102"/>
      <c r="BY138" s="103"/>
      <c r="BZ138" s="104"/>
      <c r="CA138" s="105"/>
      <c r="CB138" s="106"/>
      <c r="CC138" s="107"/>
      <c r="CD138" s="108"/>
      <c r="CE138" s="377"/>
      <c r="CF138" s="394"/>
      <c r="CK138" s="1361"/>
      <c r="CL138" s="1315"/>
      <c r="CM138" s="1315"/>
      <c r="CN138" s="1315"/>
      <c r="CO138" s="1315"/>
      <c r="CP138" s="1315"/>
      <c r="CQ138" s="1315"/>
      <c r="CR138" s="1315"/>
      <c r="CS138" s="1361"/>
      <c r="CT138" s="1315"/>
      <c r="CU138" s="602"/>
    </row>
    <row r="139" spans="1:99" ht="30" hidden="1" customHeight="1" outlineLevel="1">
      <c r="A139" s="484"/>
      <c r="B139" s="247"/>
      <c r="C139" s="247"/>
      <c r="D139" s="62"/>
      <c r="E139" s="62"/>
      <c r="F139" s="247"/>
      <c r="G139" s="80"/>
      <c r="H139" s="322"/>
      <c r="I139" s="80"/>
      <c r="J139" s="80"/>
      <c r="K139" s="271"/>
      <c r="L139" s="80"/>
      <c r="M139" s="68"/>
      <c r="N139" s="68"/>
      <c r="O139" s="70"/>
      <c r="P139" s="70"/>
      <c r="Q139" s="70"/>
      <c r="R139" s="249"/>
      <c r="S139" s="250"/>
      <c r="T139" s="70"/>
      <c r="U139" s="70"/>
      <c r="V139" s="70"/>
      <c r="W139" s="70"/>
      <c r="X139" s="250"/>
      <c r="Y139" s="70"/>
      <c r="Z139" s="70"/>
      <c r="AA139" s="70"/>
      <c r="AB139" s="274"/>
      <c r="AC139" s="724"/>
      <c r="AD139" s="135"/>
      <c r="AE139" s="135"/>
      <c r="AF139" s="74"/>
      <c r="AG139" s="75"/>
      <c r="AH139" s="319"/>
      <c r="AI139" s="288"/>
      <c r="AJ139" s="77"/>
      <c r="AK139" s="74"/>
      <c r="AL139" s="75"/>
      <c r="AM139" s="78"/>
      <c r="AN139" s="74"/>
      <c r="AO139" s="256"/>
      <c r="AP139" s="74"/>
      <c r="AQ139" s="80"/>
      <c r="AR139" s="247"/>
      <c r="AS139" s="247"/>
      <c r="AT139" s="247"/>
      <c r="AU139" s="317"/>
      <c r="AV139" s="387"/>
      <c r="AW139" s="448"/>
      <c r="AX139" s="84"/>
      <c r="AY139" s="64"/>
      <c r="AZ139" s="64"/>
      <c r="BA139" s="64"/>
      <c r="BB139" s="516"/>
      <c r="BC139" s="1427"/>
      <c r="BD139" s="703"/>
      <c r="BE139" s="703"/>
      <c r="BF139" s="457"/>
      <c r="BG139" s="450"/>
      <c r="BH139" s="450"/>
      <c r="BI139" s="91"/>
      <c r="BJ139" s="91"/>
      <c r="BK139" s="91"/>
      <c r="BL139" s="450"/>
      <c r="BM139" s="457"/>
      <c r="BN139" s="94"/>
      <c r="BO139" s="1319"/>
      <c r="BP139" s="1388"/>
      <c r="BQ139" s="131"/>
      <c r="BR139" s="132"/>
      <c r="BS139" s="99"/>
      <c r="BT139" s="385"/>
      <c r="BU139" s="214"/>
      <c r="BV139" s="214"/>
      <c r="BW139" s="101"/>
      <c r="BX139" s="102"/>
      <c r="BY139" s="103"/>
      <c r="BZ139" s="104"/>
      <c r="CA139" s="105"/>
      <c r="CB139" s="106"/>
      <c r="CC139" s="107"/>
      <c r="CD139" s="108"/>
      <c r="CE139" s="377"/>
      <c r="CF139" s="394"/>
      <c r="CK139" s="1361"/>
      <c r="CL139" s="1315"/>
      <c r="CM139" s="1315"/>
      <c r="CN139" s="1315"/>
      <c r="CO139" s="1315"/>
      <c r="CP139" s="1315"/>
      <c r="CQ139" s="1315"/>
      <c r="CR139" s="1315"/>
      <c r="CS139" s="1361"/>
      <c r="CT139" s="1315"/>
      <c r="CU139" s="602"/>
    </row>
    <row r="140" spans="1:99" ht="30" hidden="1" customHeight="1" outlineLevel="1">
      <c r="A140" s="484"/>
      <c r="B140" s="247"/>
      <c r="C140" s="247"/>
      <c r="D140" s="62"/>
      <c r="E140" s="62"/>
      <c r="F140" s="247"/>
      <c r="G140" s="80"/>
      <c r="H140" s="322"/>
      <c r="I140" s="80"/>
      <c r="J140" s="80"/>
      <c r="K140" s="271"/>
      <c r="L140" s="80"/>
      <c r="M140" s="68"/>
      <c r="N140" s="68"/>
      <c r="O140" s="70"/>
      <c r="P140" s="70"/>
      <c r="Q140" s="70"/>
      <c r="R140" s="249"/>
      <c r="S140" s="250"/>
      <c r="T140" s="70"/>
      <c r="U140" s="70"/>
      <c r="V140" s="70"/>
      <c r="W140" s="70"/>
      <c r="X140" s="250"/>
      <c r="Y140" s="70"/>
      <c r="Z140" s="70"/>
      <c r="AA140" s="70"/>
      <c r="AB140" s="274"/>
      <c r="AC140" s="724"/>
      <c r="AD140" s="135"/>
      <c r="AE140" s="135"/>
      <c r="AF140" s="74"/>
      <c r="AG140" s="75"/>
      <c r="AH140" s="319"/>
      <c r="AI140" s="288"/>
      <c r="AJ140" s="77"/>
      <c r="AK140" s="74"/>
      <c r="AL140" s="75"/>
      <c r="AM140" s="78"/>
      <c r="AN140" s="74"/>
      <c r="AO140" s="256"/>
      <c r="AP140" s="74"/>
      <c r="AQ140" s="80"/>
      <c r="AR140" s="247"/>
      <c r="AS140" s="247"/>
      <c r="AT140" s="247"/>
      <c r="AU140" s="317"/>
      <c r="AV140" s="387"/>
      <c r="AW140" s="448"/>
      <c r="AX140" s="84"/>
      <c r="AY140" s="64"/>
      <c r="AZ140" s="64"/>
      <c r="BA140" s="64"/>
      <c r="BB140" s="516"/>
      <c r="BC140" s="933"/>
      <c r="BD140" s="703"/>
      <c r="BE140" s="703"/>
      <c r="BF140" s="391"/>
      <c r="BG140" s="450"/>
      <c r="BH140" s="390"/>
      <c r="BI140" s="748"/>
      <c r="BJ140" s="748"/>
      <c r="BK140" s="748"/>
      <c r="BL140" s="450"/>
      <c r="BM140" s="457"/>
      <c r="BN140" s="94"/>
      <c r="BO140" s="1319"/>
      <c r="BP140" s="1388"/>
      <c r="BQ140" s="131"/>
      <c r="BR140" s="132"/>
      <c r="BS140" s="99"/>
      <c r="BT140" s="385"/>
      <c r="BU140" s="214"/>
      <c r="BV140" s="214"/>
      <c r="BW140" s="101"/>
      <c r="BX140" s="102"/>
      <c r="BY140" s="103"/>
      <c r="BZ140" s="104"/>
      <c r="CA140" s="105"/>
      <c r="CB140" s="106"/>
      <c r="CC140" s="107"/>
      <c r="CD140" s="108"/>
      <c r="CE140" s="377"/>
      <c r="CF140" s="394"/>
      <c r="CK140" s="1361"/>
      <c r="CL140" s="1315"/>
      <c r="CM140" s="1315"/>
      <c r="CN140" s="1315"/>
      <c r="CO140" s="1315"/>
      <c r="CP140" s="1315"/>
      <c r="CQ140" s="1315"/>
      <c r="CR140" s="1315"/>
      <c r="CS140" s="1361"/>
      <c r="CT140" s="1315"/>
      <c r="CU140" s="602"/>
    </row>
    <row r="141" spans="1:99" ht="30" hidden="1" customHeight="1" outlineLevel="1">
      <c r="A141" s="484"/>
      <c r="B141" s="247"/>
      <c r="C141" s="247"/>
      <c r="D141" s="62"/>
      <c r="E141" s="62"/>
      <c r="F141" s="247"/>
      <c r="G141" s="80"/>
      <c r="H141" s="322"/>
      <c r="I141" s="80"/>
      <c r="J141" s="80"/>
      <c r="K141" s="271"/>
      <c r="L141" s="80"/>
      <c r="M141" s="68"/>
      <c r="N141" s="68"/>
      <c r="O141" s="70"/>
      <c r="P141" s="70"/>
      <c r="Q141" s="70"/>
      <c r="R141" s="249"/>
      <c r="S141" s="250"/>
      <c r="T141" s="70"/>
      <c r="U141" s="70"/>
      <c r="V141" s="70"/>
      <c r="W141" s="70"/>
      <c r="X141" s="250"/>
      <c r="Y141" s="70"/>
      <c r="Z141" s="70"/>
      <c r="AA141" s="70"/>
      <c r="AB141" s="274"/>
      <c r="AC141" s="724"/>
      <c r="AD141" s="135"/>
      <c r="AE141" s="135"/>
      <c r="AF141" s="74"/>
      <c r="AG141" s="75"/>
      <c r="AH141" s="319"/>
      <c r="AI141" s="288"/>
      <c r="AJ141" s="77"/>
      <c r="AK141" s="74"/>
      <c r="AL141" s="75"/>
      <c r="AM141" s="78"/>
      <c r="AN141" s="74"/>
      <c r="AO141" s="256"/>
      <c r="AP141" s="74"/>
      <c r="AQ141" s="80"/>
      <c r="AR141" s="247"/>
      <c r="AS141" s="247"/>
      <c r="AT141" s="247"/>
      <c r="AU141" s="317"/>
      <c r="AV141" s="387"/>
      <c r="AW141" s="448"/>
      <c r="AX141" s="84"/>
      <c r="AY141" s="64"/>
      <c r="AZ141" s="64"/>
      <c r="BA141" s="64"/>
      <c r="BB141" s="516"/>
      <c r="BC141" s="933"/>
      <c r="BD141" s="703"/>
      <c r="BE141" s="703"/>
      <c r="BF141" s="391"/>
      <c r="BG141" s="450"/>
      <c r="BH141" s="390"/>
      <c r="BI141" s="748"/>
      <c r="BJ141" s="748"/>
      <c r="BK141" s="748"/>
      <c r="BL141" s="450"/>
      <c r="BM141" s="457"/>
      <c r="BN141" s="94"/>
      <c r="BO141" s="1319"/>
      <c r="BP141" s="1388"/>
      <c r="BQ141" s="131"/>
      <c r="BR141" s="132"/>
      <c r="BS141" s="99"/>
      <c r="BT141" s="385"/>
      <c r="BU141" s="214"/>
      <c r="BV141" s="214"/>
      <c r="BW141" s="101"/>
      <c r="BX141" s="102"/>
      <c r="BY141" s="103"/>
      <c r="BZ141" s="104"/>
      <c r="CA141" s="105"/>
      <c r="CB141" s="106"/>
      <c r="CC141" s="107"/>
      <c r="CD141" s="108"/>
      <c r="CE141" s="377"/>
      <c r="CF141" s="394"/>
      <c r="CK141" s="1361"/>
      <c r="CL141" s="1315"/>
      <c r="CM141" s="1315"/>
      <c r="CN141" s="1315"/>
      <c r="CO141" s="1315"/>
      <c r="CP141" s="1315"/>
      <c r="CQ141" s="1315"/>
      <c r="CR141" s="1315"/>
      <c r="CS141" s="1361"/>
      <c r="CT141" s="1315"/>
      <c r="CU141" s="602"/>
    </row>
    <row r="142" spans="1:99" ht="30" hidden="1" customHeight="1" outlineLevel="1" collapsed="1">
      <c r="A142" s="148" t="s">
        <v>86</v>
      </c>
      <c r="B142" s="149">
        <f>COUNTIF(A132:A141,$B$1)</f>
        <v>0</v>
      </c>
      <c r="C142" s="150"/>
      <c r="D142" s="151"/>
      <c r="E142" s="151"/>
      <c r="F142" s="151"/>
      <c r="G142" s="152">
        <f>SUMIF(A132:A141,$B$1,G132:G141)</f>
        <v>0</v>
      </c>
      <c r="H142" s="152">
        <f>SUMIF(A132:A141,$B$1,H132:H141)</f>
        <v>0</v>
      </c>
      <c r="I142" s="152">
        <f>SUM(I132:I141)</f>
        <v>0</v>
      </c>
      <c r="J142" s="152"/>
      <c r="K142" s="152"/>
      <c r="L142" s="153">
        <f>SUMIF(A132:A141,$B$1,L132:L141)</f>
        <v>0</v>
      </c>
      <c r="M142" s="153">
        <f>SUMIF(A132:A141,$B$1,M132:M141)</f>
        <v>0</v>
      </c>
      <c r="N142" s="152"/>
      <c r="O142" s="152"/>
      <c r="P142" s="152"/>
      <c r="Q142" s="152"/>
      <c r="R142" s="152"/>
      <c r="S142" s="152">
        <f>SUMIF(A132:A141,$B$1,S132:S141)</f>
        <v>0</v>
      </c>
      <c r="T142" s="152">
        <f ca="1">SUMIF(A127:A141,$B$1,T132:T141)</f>
        <v>0</v>
      </c>
      <c r="U142" s="151"/>
      <c r="V142" s="151"/>
      <c r="W142" s="151"/>
      <c r="X142" s="152"/>
      <c r="Y142" s="152"/>
      <c r="Z142" s="151"/>
      <c r="AA142" s="151"/>
      <c r="AB142" s="151"/>
      <c r="AC142" s="154"/>
      <c r="AD142" s="155"/>
      <c r="AE142" s="156"/>
      <c r="AF142" s="152"/>
      <c r="AG142" s="157"/>
      <c r="AH142" s="296"/>
      <c r="AI142" s="156"/>
      <c r="AJ142" s="156"/>
      <c r="AK142" s="152"/>
      <c r="AL142" s="157"/>
      <c r="AM142" s="297">
        <f>COUNTA(AM132:AM141)</f>
        <v>0</v>
      </c>
      <c r="AN142" s="152">
        <f>SUM(AN132:AN141)</f>
        <v>0</v>
      </c>
      <c r="AO142" s="152">
        <f>SUM(AO132:AO141)</f>
        <v>0</v>
      </c>
      <c r="AP142" s="161"/>
      <c r="AQ142" s="151"/>
      <c r="AR142" s="151"/>
      <c r="AS142" s="151"/>
      <c r="AT142" s="151"/>
      <c r="AU142" s="151"/>
      <c r="AV142" s="151"/>
      <c r="AW142" s="151"/>
      <c r="AX142" s="163">
        <f>SUM(AX132:AX141)</f>
        <v>0</v>
      </c>
      <c r="AY142" s="163">
        <f>SUM(AY132:AY141)</f>
        <v>0</v>
      </c>
      <c r="AZ142" s="163">
        <f>SUM(AZ132:AZ141)</f>
        <v>0</v>
      </c>
      <c r="BA142" s="221" t="str">
        <f>IF(COUNT(BA132:BA141)=0,"-",AVERAGE(BA132:BA141))</f>
        <v>-</v>
      </c>
      <c r="BB142" s="1386"/>
      <c r="BC142" s="1594"/>
      <c r="BD142" s="340"/>
      <c r="BE142" s="341"/>
      <c r="BF142" s="341"/>
      <c r="BG142" s="341"/>
      <c r="BH142" s="341"/>
      <c r="BI142" s="341"/>
      <c r="BJ142" s="341"/>
      <c r="BK142" s="341"/>
      <c r="BL142" s="341"/>
      <c r="BM142" s="341"/>
      <c r="BN142" s="163" t="e">
        <f>SUM(BN123:BN141)</f>
        <v>#VALUE!</v>
      </c>
      <c r="BO142" s="149" t="e">
        <f>SUM(BO123:BO141)</f>
        <v>#VALUE!</v>
      </c>
      <c r="BP142" s="1591">
        <f>COUNTA(BP132:BP141)</f>
        <v>1</v>
      </c>
      <c r="BQ142" s="898">
        <f>SUM(BQ132:BQ141)</f>
        <v>0</v>
      </c>
      <c r="BR142" s="899">
        <f>SUM(BR132:BR141)</f>
        <v>0</v>
      </c>
      <c r="BS142" s="871"/>
      <c r="BT142" s="897">
        <f>COUNTA(BT132:BT141)</f>
        <v>1</v>
      </c>
      <c r="BU142" s="908">
        <f>SUM(BU132:BU141)</f>
        <v>0</v>
      </c>
      <c r="BV142" s="909">
        <f>SUM(BV132:BV141)</f>
        <v>0</v>
      </c>
      <c r="BW142" s="171"/>
      <c r="BX142" s="548"/>
      <c r="BY142" s="173">
        <f>AM142</f>
        <v>0</v>
      </c>
      <c r="BZ142" s="173">
        <f>COUNTIF(BZ132:BZ141,"=0")</f>
        <v>0</v>
      </c>
      <c r="CA142" s="174">
        <f>SUM(COUNTIF(BZ132:BZ141,"&lt;0"),COUNTIF(BZ132:BZ141,"&gt;0"))</f>
        <v>0</v>
      </c>
      <c r="CB142" s="225"/>
      <c r="CC142" s="226"/>
      <c r="CD142" s="227"/>
      <c r="CE142" s="228"/>
      <c r="CF142" s="178"/>
      <c r="CK142" s="1361"/>
      <c r="CL142" s="1315"/>
      <c r="CM142" s="1315"/>
      <c r="CN142" s="1315"/>
      <c r="CO142" s="1315"/>
      <c r="CP142" s="1315"/>
      <c r="CQ142" s="1315"/>
      <c r="CR142" s="1315"/>
      <c r="CS142" s="1361"/>
      <c r="CT142" s="1315"/>
      <c r="CU142" s="602"/>
    </row>
    <row r="143" spans="1:99" ht="30" hidden="1" customHeight="1" outlineLevel="1">
      <c r="A143" s="179" t="s">
        <v>87</v>
      </c>
      <c r="B143" s="348">
        <f>COUNT(A132:A141)</f>
        <v>0</v>
      </c>
      <c r="C143" s="181"/>
      <c r="D143" s="182"/>
      <c r="E143" s="182"/>
      <c r="F143" s="182"/>
      <c r="G143" s="184">
        <f>SUM(G132:G141)</f>
        <v>0</v>
      </c>
      <c r="H143" s="184">
        <f>SUM(H132:H141)</f>
        <v>0</v>
      </c>
      <c r="I143" s="184"/>
      <c r="J143" s="184">
        <f>SUM(J132:J141)</f>
        <v>0</v>
      </c>
      <c r="K143" s="184"/>
      <c r="L143" s="184"/>
      <c r="M143" s="184"/>
      <c r="N143" s="184"/>
      <c r="O143" s="184"/>
      <c r="P143" s="184"/>
      <c r="Q143" s="184"/>
      <c r="R143" s="185"/>
      <c r="S143" s="187"/>
      <c r="T143" s="185"/>
      <c r="U143" s="182"/>
      <c r="V143" s="182"/>
      <c r="W143" s="182"/>
      <c r="X143" s="187"/>
      <c r="Y143" s="185"/>
      <c r="Z143" s="182"/>
      <c r="AA143" s="182"/>
      <c r="AB143" s="182"/>
      <c r="AC143" s="186"/>
      <c r="AD143" s="186"/>
      <c r="AE143" s="186"/>
      <c r="AF143" s="184">
        <f>COUNT(AG132:AG141)</f>
        <v>0</v>
      </c>
      <c r="AG143" s="191">
        <f>SUM(AG132:AG141)</f>
        <v>0</v>
      </c>
      <c r="AH143" s="186"/>
      <c r="AI143" s="186"/>
      <c r="AJ143" s="186"/>
      <c r="AK143" s="184"/>
      <c r="AL143" s="184"/>
      <c r="AM143" s="182">
        <f>SUM(AM142,AM128)</f>
        <v>0</v>
      </c>
      <c r="AN143" s="184">
        <f>SUM(AN142,AN128)</f>
        <v>0</v>
      </c>
      <c r="AO143" s="182"/>
      <c r="AP143" s="187"/>
      <c r="AQ143" s="182"/>
      <c r="AR143" s="182"/>
      <c r="AS143" s="182"/>
      <c r="AT143" s="182"/>
      <c r="AU143" s="182"/>
      <c r="AV143" s="182"/>
      <c r="AW143" s="182"/>
      <c r="AX143" s="188">
        <f>SUM(AX142,AX128)</f>
        <v>0</v>
      </c>
      <c r="AY143" s="188">
        <f>SUM(AY142,AY128)</f>
        <v>0</v>
      </c>
      <c r="AZ143" s="188">
        <f>SUM(AZ142,AZ128)</f>
        <v>0</v>
      </c>
      <c r="BA143" s="910" t="str">
        <f>IF(COUNT(BA132:BA141,BA123:BA127)=0,"-",AVERAGE(BA132:BA141,BA123:BA127))</f>
        <v>-</v>
      </c>
      <c r="BB143" s="188">
        <f>+BB129</f>
        <v>0</v>
      </c>
      <c r="BC143" s="190"/>
      <c r="BD143" s="189"/>
      <c r="BE143" s="190"/>
      <c r="BF143" s="900"/>
      <c r="BG143" s="900"/>
      <c r="BH143" s="900"/>
      <c r="BI143" s="900"/>
      <c r="BJ143" s="900"/>
      <c r="BK143" s="900"/>
      <c r="BL143" s="900"/>
      <c r="BM143" s="900"/>
      <c r="BN143" s="308"/>
      <c r="BO143" s="230"/>
      <c r="BP143" s="1588"/>
      <c r="BQ143" s="875"/>
      <c r="BR143" s="875"/>
      <c r="BS143" s="474">
        <f>SUMIF(BS132:BS141,"",BR132:BR141)</f>
        <v>0</v>
      </c>
      <c r="BT143" s="192"/>
      <c r="BU143" s="193"/>
      <c r="BV143" s="193"/>
      <c r="BW143" s="360"/>
      <c r="BX143" s="230"/>
      <c r="BY143" s="197">
        <f>SUM(BY132:BY141)</f>
        <v>0</v>
      </c>
      <c r="BZ143" s="197">
        <f>SUMIF(BZ132:BZ141,"=0",CA132:CA141)</f>
        <v>0</v>
      </c>
      <c r="CA143" s="198">
        <f>SUMIF(BZ132:BZ141,"&lt;&gt;0",CA132:CA141)</f>
        <v>0</v>
      </c>
      <c r="CB143" s="234"/>
      <c r="CC143" s="197"/>
      <c r="CD143" s="197"/>
      <c r="CE143" s="198"/>
      <c r="CF143" s="202"/>
      <c r="CK143" s="1361"/>
      <c r="CL143" s="1315"/>
      <c r="CM143" s="1315"/>
      <c r="CN143" s="1315"/>
      <c r="CO143" s="1315"/>
      <c r="CP143" s="1315"/>
      <c r="CQ143" s="1315"/>
      <c r="CR143" s="1315"/>
      <c r="CS143" s="1361"/>
      <c r="CT143" s="1315"/>
      <c r="CU143" s="602"/>
    </row>
    <row r="144" spans="1:99" ht="30" hidden="1" customHeight="1" outlineLevel="1" collapsed="1">
      <c r="A144" s="2144" t="s">
        <v>130</v>
      </c>
      <c r="B144" s="2144"/>
      <c r="C144" s="2144"/>
      <c r="D144" s="2144"/>
      <c r="E144" s="2144"/>
      <c r="F144" s="21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5"/>
      <c r="AH144" s="44"/>
      <c r="AI144" s="44"/>
      <c r="AJ144" s="44"/>
      <c r="AK144" s="44"/>
      <c r="AL144" s="44"/>
      <c r="AM144" s="44"/>
      <c r="AN144" s="362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362"/>
      <c r="BB144" s="44"/>
      <c r="BC144" s="45"/>
      <c r="BD144" s="46"/>
      <c r="BE144" s="364"/>
      <c r="BF144" s="46"/>
      <c r="BG144" s="46"/>
      <c r="BH144" s="46"/>
      <c r="BI144" s="46"/>
      <c r="BJ144" s="46"/>
      <c r="BK144" s="46"/>
      <c r="BL144" s="46"/>
      <c r="BM144" s="46"/>
      <c r="BN144" s="478"/>
      <c r="BO144" s="478"/>
      <c r="BP144" s="1412"/>
      <c r="BQ144" s="367"/>
      <c r="BR144" s="367"/>
      <c r="BS144" s="608"/>
      <c r="BT144" s="609"/>
      <c r="BU144" s="610"/>
      <c r="BV144" s="608"/>
      <c r="BW144" s="52"/>
      <c r="BX144" s="53"/>
      <c r="BY144" s="53"/>
      <c r="BZ144" s="53"/>
      <c r="CA144" s="206"/>
      <c r="CB144" s="53"/>
      <c r="CC144" s="53"/>
      <c r="CD144" s="53"/>
      <c r="CE144" s="53"/>
      <c r="CF144" s="52"/>
      <c r="CK144" s="1361"/>
      <c r="CL144" s="1315"/>
      <c r="CM144" s="1315"/>
      <c r="CN144" s="1315"/>
      <c r="CO144" s="1315"/>
      <c r="CP144" s="1315"/>
      <c r="CQ144" s="1315"/>
      <c r="CR144" s="1315"/>
      <c r="CS144" s="1361"/>
      <c r="CT144" s="1315"/>
      <c r="CU144" s="602"/>
    </row>
    <row r="145" spans="1:99" ht="30" hidden="1" customHeight="1" outlineLevel="1">
      <c r="A145" s="310"/>
      <c r="B145" s="505"/>
      <c r="C145" s="505"/>
      <c r="D145" s="62"/>
      <c r="E145" s="62"/>
      <c r="F145" s="247"/>
      <c r="G145" s="80"/>
      <c r="H145" s="80"/>
      <c r="I145" s="80"/>
      <c r="J145" s="65"/>
      <c r="K145" s="629"/>
      <c r="L145" s="252"/>
      <c r="M145" s="252"/>
      <c r="N145" s="252"/>
      <c r="O145" s="372"/>
      <c r="P145" s="71"/>
      <c r="Q145" s="71"/>
      <c r="R145" s="273"/>
      <c r="S145" s="63"/>
      <c r="T145" s="71"/>
      <c r="U145" s="913"/>
      <c r="V145" s="71"/>
      <c r="W145" s="537"/>
      <c r="X145" s="63"/>
      <c r="Y145" s="71"/>
      <c r="Z145" s="537"/>
      <c r="AA145" s="71"/>
      <c r="AB145" s="274"/>
      <c r="AC145" s="253"/>
      <c r="AD145" s="135"/>
      <c r="AE145" s="1723"/>
      <c r="AF145" s="78"/>
      <c r="AG145" s="75"/>
      <c r="AH145" s="276"/>
      <c r="AI145" s="77"/>
      <c r="AJ145" s="77"/>
      <c r="AK145" s="74"/>
      <c r="AL145" s="75"/>
      <c r="AM145" s="78"/>
      <c r="AN145" s="74"/>
      <c r="AO145" s="256"/>
      <c r="AP145" s="74"/>
      <c r="AQ145" s="112"/>
      <c r="AR145" s="247"/>
      <c r="AS145" s="247"/>
      <c r="AT145" s="247"/>
      <c r="AU145" s="317"/>
      <c r="AV145" s="258"/>
      <c r="AW145" s="514"/>
      <c r="AX145" s="84"/>
      <c r="AY145" s="64"/>
      <c r="AZ145" s="64"/>
      <c r="BA145" s="515"/>
      <c r="BB145" s="516"/>
      <c r="BC145" s="933"/>
      <c r="BD145" s="375"/>
      <c r="BE145" s="517"/>
      <c r="BF145" s="91"/>
      <c r="BG145" s="91"/>
      <c r="BH145" s="93"/>
      <c r="BI145" s="91"/>
      <c r="BJ145" s="93"/>
      <c r="BK145" s="93"/>
      <c r="BL145" s="91"/>
      <c r="BM145" s="91"/>
      <c r="BN145" s="94"/>
      <c r="BO145" s="1319"/>
      <c r="BP145" s="1388">
        <f t="shared" ref="BP145:BP152" si="52">AC145</f>
        <v>0</v>
      </c>
      <c r="BQ145" s="131"/>
      <c r="BR145" s="132"/>
      <c r="BS145" s="99"/>
      <c r="BT145" s="284">
        <f t="shared" ref="BT145:BT152" si="53">S145</f>
        <v>0</v>
      </c>
      <c r="BU145" s="214">
        <f t="shared" ref="BU145:BU152" si="54">AG145</f>
        <v>0</v>
      </c>
      <c r="BV145" s="214" t="str">
        <f>IF(AE145&gt;$CC$7,S145,IF(AE145="перех",(S145),"-"))</f>
        <v>-</v>
      </c>
      <c r="BW145" s="101"/>
      <c r="BX145" s="102"/>
      <c r="BY145" s="103">
        <f>($D$1-AJ145)*AX145</f>
        <v>0</v>
      </c>
      <c r="BZ145" s="104">
        <f>IF(AM145&gt;0,"-",(AE145-BX145))</f>
        <v>0</v>
      </c>
      <c r="CA145" s="105">
        <f>IF(AM145&gt;0,"-",(($D$1-BX145)*H145))</f>
        <v>0</v>
      </c>
      <c r="CB145" s="101"/>
      <c r="CC145" s="102"/>
      <c r="CD145" s="103"/>
      <c r="CE145" s="518"/>
      <c r="CF145" s="512" t="s">
        <v>130</v>
      </c>
      <c r="CH145" s="1322">
        <v>1.371E-2</v>
      </c>
      <c r="CI145" s="1322">
        <v>1.634E-2</v>
      </c>
      <c r="CJ145" s="1322">
        <v>3.005E-2</v>
      </c>
      <c r="CK145" s="1313">
        <f t="shared" ref="CK145:CK151" si="55">IF($BP145&lt;=$B$1,T145-T145*CH145,T145)</f>
        <v>0</v>
      </c>
      <c r="CL145" s="1321">
        <f t="shared" ref="CL145:CL151" si="56">IF($BP145&lt;=$B$1,S145-S145*CJ145,S145)</f>
        <v>0</v>
      </c>
      <c r="CM145" s="1321">
        <f t="shared" ref="CM145:CM151" si="57">IF(CK145=0,M145-S145,($N145-$CK145)*$M145/$N145)</f>
        <v>0</v>
      </c>
      <c r="CN145" s="1321">
        <f t="shared" ref="CN145:CN151" si="58">IF(CK145=0,0,-($CL145-$CK145*$M145/$N145))</f>
        <v>0</v>
      </c>
      <c r="CO145" s="1321">
        <f t="shared" ref="CO145:CO151" si="59">CM145+CN145</f>
        <v>0</v>
      </c>
      <c r="CP145" s="1322">
        <v>5.8399999999999997E-3</v>
      </c>
      <c r="CQ145" s="1322">
        <v>2.9100000000000001E-2</v>
      </c>
      <c r="CR145" s="1322">
        <v>3.4939999999999999E-2</v>
      </c>
      <c r="CS145" s="1313">
        <f t="shared" ref="CS145:CS151" si="60">IF($A145&lt;=$B$1,N145-N145*CP145,N145)</f>
        <v>0</v>
      </c>
      <c r="CT145" s="1321">
        <f t="shared" ref="CT145:CT151" si="61">IF($A145&lt;=$B$1,M145-M145*CR145,M145)</f>
        <v>0</v>
      </c>
      <c r="CU145" s="602"/>
    </row>
    <row r="146" spans="1:99" ht="30" hidden="1" customHeight="1" outlineLevel="1">
      <c r="A146" s="310"/>
      <c r="B146" s="505"/>
      <c r="C146" s="505"/>
      <c r="D146" s="248"/>
      <c r="E146" s="62"/>
      <c r="F146" s="247"/>
      <c r="G146" s="80"/>
      <c r="H146" s="80"/>
      <c r="I146" s="80"/>
      <c r="J146" s="65"/>
      <c r="K146" s="66"/>
      <c r="L146" s="252"/>
      <c r="M146" s="252"/>
      <c r="N146" s="252"/>
      <c r="O146" s="372"/>
      <c r="P146" s="71"/>
      <c r="Q146" s="71"/>
      <c r="R146" s="273"/>
      <c r="S146" s="63"/>
      <c r="T146" s="71"/>
      <c r="U146" s="913"/>
      <c r="V146" s="71"/>
      <c r="W146" s="537"/>
      <c r="X146" s="63"/>
      <c r="Y146" s="71"/>
      <c r="Z146" s="537"/>
      <c r="AA146" s="71"/>
      <c r="AB146" s="274"/>
      <c r="AC146" s="319"/>
      <c r="AD146" s="135"/>
      <c r="AE146" s="135"/>
      <c r="AF146" s="74"/>
      <c r="AG146" s="75"/>
      <c r="AH146" s="276"/>
      <c r="AI146" s="77"/>
      <c r="AJ146" s="77"/>
      <c r="AK146" s="74"/>
      <c r="AL146" s="75"/>
      <c r="AM146" s="78"/>
      <c r="AN146" s="74"/>
      <c r="AO146" s="256"/>
      <c r="AP146" s="74"/>
      <c r="AQ146" s="112"/>
      <c r="AR146" s="247"/>
      <c r="AS146" s="247"/>
      <c r="AT146" s="247"/>
      <c r="AU146" s="317"/>
      <c r="AV146" s="258"/>
      <c r="AW146" s="514"/>
      <c r="AX146" s="84"/>
      <c r="AY146" s="64"/>
      <c r="AZ146" s="64"/>
      <c r="BA146" s="515"/>
      <c r="BB146" s="516"/>
      <c r="BC146" s="933"/>
      <c r="BD146" s="375"/>
      <c r="BE146" s="517"/>
      <c r="BF146" s="91"/>
      <c r="BG146" s="91"/>
      <c r="BH146" s="93"/>
      <c r="BI146" s="91"/>
      <c r="BJ146" s="93"/>
      <c r="BK146" s="93"/>
      <c r="BL146" s="91"/>
      <c r="BM146" s="91"/>
      <c r="BN146" s="94"/>
      <c r="BO146" s="1319"/>
      <c r="BP146" s="1388">
        <f t="shared" si="52"/>
        <v>0</v>
      </c>
      <c r="BQ146" s="131"/>
      <c r="BR146" s="132"/>
      <c r="BS146" s="99"/>
      <c r="BT146" s="284">
        <f t="shared" si="53"/>
        <v>0</v>
      </c>
      <c r="BU146" s="214">
        <f t="shared" si="54"/>
        <v>0</v>
      </c>
      <c r="BV146" s="214"/>
      <c r="BW146" s="101"/>
      <c r="BX146" s="102"/>
      <c r="BY146" s="103">
        <f>($D$1-AJ146)*AX146</f>
        <v>0</v>
      </c>
      <c r="BZ146" s="104">
        <f>IF(AM146&gt;0,"-",(AE146-BX146))</f>
        <v>0</v>
      </c>
      <c r="CA146" s="105">
        <f>IF(AM146&gt;0,"-",(($D$1-BX146)*H146))</f>
        <v>0</v>
      </c>
      <c r="CB146" s="101"/>
      <c r="CC146" s="102"/>
      <c r="CD146" s="103"/>
      <c r="CE146" s="518"/>
      <c r="CF146" s="512" t="s">
        <v>130</v>
      </c>
      <c r="CK146" s="1313">
        <f t="shared" si="55"/>
        <v>0</v>
      </c>
      <c r="CL146" s="1302">
        <f t="shared" si="56"/>
        <v>0</v>
      </c>
      <c r="CM146" s="1321">
        <f t="shared" si="57"/>
        <v>0</v>
      </c>
      <c r="CN146" s="1321">
        <f t="shared" si="58"/>
        <v>0</v>
      </c>
      <c r="CO146" s="1321">
        <f t="shared" si="59"/>
        <v>0</v>
      </c>
      <c r="CP146" s="1312"/>
      <c r="CQ146" s="1312"/>
      <c r="CR146" s="1312"/>
      <c r="CS146" s="1313">
        <f t="shared" si="60"/>
        <v>0</v>
      </c>
      <c r="CT146" s="1302">
        <f t="shared" si="61"/>
        <v>0</v>
      </c>
      <c r="CU146" s="602"/>
    </row>
    <row r="147" spans="1:99" ht="30" hidden="1" customHeight="1" outlineLevel="1">
      <c r="A147" s="310"/>
      <c r="B147" s="505"/>
      <c r="C147" s="505"/>
      <c r="D147" s="248"/>
      <c r="E147" s="62"/>
      <c r="F147" s="270"/>
      <c r="G147" s="65"/>
      <c r="H147" s="80"/>
      <c r="I147" s="80"/>
      <c r="J147" s="80"/>
      <c r="K147" s="66"/>
      <c r="L147" s="252">
        <f t="shared" ref="L147:L152" ca="1" si="62">IF((AC147)&lt;$L$2-DAY($L$2)+1,H147,H147+S147)</f>
        <v>0</v>
      </c>
      <c r="M147" s="252"/>
      <c r="N147" s="252"/>
      <c r="O147" s="85"/>
      <c r="P147" s="71"/>
      <c r="Q147" s="71"/>
      <c r="R147" s="273"/>
      <c r="S147" s="63"/>
      <c r="T147" s="71"/>
      <c r="U147" s="537"/>
      <c r="V147" s="71"/>
      <c r="W147" s="537"/>
      <c r="X147" s="63"/>
      <c r="Y147" s="71"/>
      <c r="Z147" s="537"/>
      <c r="AA147" s="71"/>
      <c r="AB147" s="274"/>
      <c r="AC147" s="73"/>
      <c r="AD147" s="135"/>
      <c r="AE147" s="135"/>
      <c r="AF147" s="74"/>
      <c r="AG147" s="75"/>
      <c r="AH147" s="276"/>
      <c r="AI147" s="77"/>
      <c r="AJ147" s="77"/>
      <c r="AK147" s="74"/>
      <c r="AL147" s="75"/>
      <c r="AM147" s="78"/>
      <c r="AN147" s="74"/>
      <c r="AO147" s="256"/>
      <c r="AP147" s="74"/>
      <c r="AQ147" s="112"/>
      <c r="AR147" s="247"/>
      <c r="AS147" s="247"/>
      <c r="AT147" s="247"/>
      <c r="AU147" s="317"/>
      <c r="AV147" s="258"/>
      <c r="AW147" s="514"/>
      <c r="AX147" s="84"/>
      <c r="AY147" s="64"/>
      <c r="AZ147" s="64"/>
      <c r="BA147" s="515"/>
      <c r="BB147" s="516"/>
      <c r="BC147" s="933"/>
      <c r="BD147" s="375"/>
      <c r="BE147" s="517"/>
      <c r="BF147" s="91"/>
      <c r="BG147" s="91"/>
      <c r="BH147" s="93"/>
      <c r="BI147" s="91"/>
      <c r="BJ147" s="93"/>
      <c r="BK147" s="93"/>
      <c r="BL147" s="91"/>
      <c r="BM147" s="91"/>
      <c r="BN147" s="94"/>
      <c r="BO147" s="1319"/>
      <c r="BP147" s="1388">
        <f t="shared" si="52"/>
        <v>0</v>
      </c>
      <c r="BQ147" s="131"/>
      <c r="BR147" s="132"/>
      <c r="BS147" s="99"/>
      <c r="BT147" s="284">
        <f t="shared" si="53"/>
        <v>0</v>
      </c>
      <c r="BU147" s="214">
        <f t="shared" si="54"/>
        <v>0</v>
      </c>
      <c r="BV147" s="214"/>
      <c r="BW147" s="101"/>
      <c r="BX147" s="102"/>
      <c r="BY147" s="103">
        <f>($D$1-AJ147)*AX147</f>
        <v>0</v>
      </c>
      <c r="BZ147" s="104">
        <f>IF(AM147&gt;0,"-",(AE147-BX147))</f>
        <v>0</v>
      </c>
      <c r="CA147" s="105">
        <f>IF(AM147&gt;0,"-",(($D$1-BX147)*H147))</f>
        <v>0</v>
      </c>
      <c r="CB147" s="101"/>
      <c r="CC147" s="102"/>
      <c r="CD147" s="103"/>
      <c r="CE147" s="518"/>
      <c r="CF147" s="512" t="s">
        <v>130</v>
      </c>
      <c r="CK147" s="1313">
        <f t="shared" si="55"/>
        <v>0</v>
      </c>
      <c r="CL147" s="1302">
        <f t="shared" si="56"/>
        <v>0</v>
      </c>
      <c r="CM147" s="1321">
        <f t="shared" si="57"/>
        <v>0</v>
      </c>
      <c r="CN147" s="1321">
        <f t="shared" si="58"/>
        <v>0</v>
      </c>
      <c r="CO147" s="1321">
        <f t="shared" si="59"/>
        <v>0</v>
      </c>
      <c r="CP147" s="1312"/>
      <c r="CQ147" s="1312"/>
      <c r="CR147" s="1312"/>
      <c r="CS147" s="1313">
        <f t="shared" si="60"/>
        <v>0</v>
      </c>
      <c r="CT147" s="1302">
        <f t="shared" si="61"/>
        <v>0</v>
      </c>
      <c r="CU147" s="602"/>
    </row>
    <row r="148" spans="1:99" ht="30" hidden="1" customHeight="1" outlineLevel="1">
      <c r="A148" s="310"/>
      <c r="B148" s="505"/>
      <c r="C148" s="505"/>
      <c r="D148" s="248"/>
      <c r="E148" s="62"/>
      <c r="F148" s="247"/>
      <c r="G148" s="65"/>
      <c r="H148" s="80"/>
      <c r="I148" s="80"/>
      <c r="J148" s="80"/>
      <c r="K148" s="66"/>
      <c r="L148" s="252">
        <f t="shared" ca="1" si="62"/>
        <v>0</v>
      </c>
      <c r="M148" s="252"/>
      <c r="N148" s="252"/>
      <c r="O148" s="372"/>
      <c r="P148" s="71"/>
      <c r="Q148" s="71"/>
      <c r="R148" s="273"/>
      <c r="S148" s="63"/>
      <c r="T148" s="71"/>
      <c r="U148" s="537"/>
      <c r="V148" s="71"/>
      <c r="W148" s="537"/>
      <c r="X148" s="63"/>
      <c r="Y148" s="71"/>
      <c r="Z148" s="537"/>
      <c r="AA148" s="71"/>
      <c r="AB148" s="274"/>
      <c r="AC148" s="73"/>
      <c r="AD148" s="135"/>
      <c r="AE148" s="135"/>
      <c r="AF148" s="74"/>
      <c r="AG148" s="75"/>
      <c r="AH148" s="276"/>
      <c r="AI148" s="77"/>
      <c r="AJ148" s="77"/>
      <c r="AK148" s="74"/>
      <c r="AL148" s="75"/>
      <c r="AM148" s="78"/>
      <c r="AN148" s="74"/>
      <c r="AO148" s="256"/>
      <c r="AP148" s="74"/>
      <c r="AQ148" s="112"/>
      <c r="AR148" s="247"/>
      <c r="AS148" s="247"/>
      <c r="AT148" s="247"/>
      <c r="AU148" s="317"/>
      <c r="AV148" s="258"/>
      <c r="AW148" s="514"/>
      <c r="AX148" s="84"/>
      <c r="AY148" s="64"/>
      <c r="AZ148" s="64"/>
      <c r="BA148" s="515"/>
      <c r="BB148" s="516"/>
      <c r="BC148" s="933"/>
      <c r="BD148" s="375"/>
      <c r="BE148" s="517"/>
      <c r="BF148" s="91"/>
      <c r="BG148" s="91"/>
      <c r="BH148" s="93"/>
      <c r="BI148" s="91"/>
      <c r="BJ148" s="93"/>
      <c r="BK148" s="93"/>
      <c r="BL148" s="91"/>
      <c r="BM148" s="91"/>
      <c r="BN148" s="94"/>
      <c r="BO148" s="1319"/>
      <c r="BP148" s="1388">
        <f t="shared" si="52"/>
        <v>0</v>
      </c>
      <c r="BQ148" s="131"/>
      <c r="BR148" s="132"/>
      <c r="BS148" s="99"/>
      <c r="BT148" s="284">
        <f t="shared" si="53"/>
        <v>0</v>
      </c>
      <c r="BU148" s="214">
        <f t="shared" si="54"/>
        <v>0</v>
      </c>
      <c r="BV148" s="214"/>
      <c r="BW148" s="101"/>
      <c r="BX148" s="102"/>
      <c r="BY148" s="103">
        <f>($D$1-AJ148)*AX148</f>
        <v>0</v>
      </c>
      <c r="BZ148" s="104">
        <f>IF(AM148&gt;0,"-",(AE148-BX148))</f>
        <v>0</v>
      </c>
      <c r="CA148" s="105">
        <f>IF(AM148&gt;0,"-",(($D$1-BX148)*H148))</f>
        <v>0</v>
      </c>
      <c r="CB148" s="101"/>
      <c r="CC148" s="102"/>
      <c r="CD148" s="103"/>
      <c r="CE148" s="518"/>
      <c r="CF148" s="512" t="s">
        <v>130</v>
      </c>
      <c r="CK148" s="1313">
        <f t="shared" si="55"/>
        <v>0</v>
      </c>
      <c r="CL148" s="1302">
        <f t="shared" si="56"/>
        <v>0</v>
      </c>
      <c r="CM148" s="1321">
        <f t="shared" si="57"/>
        <v>0</v>
      </c>
      <c r="CN148" s="1321">
        <f t="shared" si="58"/>
        <v>0</v>
      </c>
      <c r="CO148" s="1321">
        <f t="shared" si="59"/>
        <v>0</v>
      </c>
      <c r="CP148" s="1312"/>
      <c r="CQ148" s="1312"/>
      <c r="CR148" s="1312"/>
      <c r="CS148" s="1313">
        <f t="shared" si="60"/>
        <v>0</v>
      </c>
      <c r="CT148" s="1302">
        <f t="shared" si="61"/>
        <v>0</v>
      </c>
      <c r="CU148" s="602"/>
    </row>
    <row r="149" spans="1:99" ht="30" hidden="1" customHeight="1" outlineLevel="1">
      <c r="A149" s="310"/>
      <c r="B149" s="505"/>
      <c r="C149" s="505"/>
      <c r="D149" s="248"/>
      <c r="E149" s="62"/>
      <c r="F149" s="270"/>
      <c r="G149" s="65"/>
      <c r="H149" s="80"/>
      <c r="I149" s="80"/>
      <c r="J149" s="80"/>
      <c r="K149" s="66"/>
      <c r="L149" s="252">
        <f t="shared" ca="1" si="62"/>
        <v>0</v>
      </c>
      <c r="M149" s="252"/>
      <c r="N149" s="519"/>
      <c r="O149" s="1595"/>
      <c r="P149" s="520"/>
      <c r="Q149" s="520"/>
      <c r="R149" s="249"/>
      <c r="S149" s="63"/>
      <c r="T149" s="70"/>
      <c r="U149" s="508"/>
      <c r="V149" s="71"/>
      <c r="W149" s="508"/>
      <c r="X149" s="63"/>
      <c r="Y149" s="70"/>
      <c r="Z149" s="508"/>
      <c r="AA149" s="71"/>
      <c r="AB149" s="274"/>
      <c r="AC149" s="73"/>
      <c r="AD149" s="135"/>
      <c r="AE149" s="135"/>
      <c r="AF149" s="74"/>
      <c r="AG149" s="75"/>
      <c r="AH149" s="276"/>
      <c r="AI149" s="77"/>
      <c r="AJ149" s="77"/>
      <c r="AK149" s="74"/>
      <c r="AL149" s="75"/>
      <c r="AM149" s="78"/>
      <c r="AN149" s="74"/>
      <c r="AO149" s="256"/>
      <c r="AP149" s="74"/>
      <c r="AQ149" s="112"/>
      <c r="AR149" s="247"/>
      <c r="AS149" s="247"/>
      <c r="AT149" s="247"/>
      <c r="AU149" s="317"/>
      <c r="AV149" s="258"/>
      <c r="AW149" s="514"/>
      <c r="AX149" s="84"/>
      <c r="AY149" s="64"/>
      <c r="AZ149" s="64"/>
      <c r="BA149" s="515"/>
      <c r="BB149" s="516"/>
      <c r="BC149" s="933"/>
      <c r="BD149" s="375"/>
      <c r="BE149" s="517"/>
      <c r="BF149" s="91"/>
      <c r="BG149" s="91"/>
      <c r="BH149" s="93"/>
      <c r="BI149" s="91"/>
      <c r="BJ149" s="93"/>
      <c r="BK149" s="93"/>
      <c r="BL149" s="91"/>
      <c r="BM149" s="91"/>
      <c r="BN149" s="94"/>
      <c r="BO149" s="1319"/>
      <c r="BP149" s="1388">
        <f t="shared" si="52"/>
        <v>0</v>
      </c>
      <c r="BQ149" s="131"/>
      <c r="BR149" s="132"/>
      <c r="BS149" s="99"/>
      <c r="BT149" s="284">
        <f t="shared" si="53"/>
        <v>0</v>
      </c>
      <c r="BU149" s="214">
        <f t="shared" si="54"/>
        <v>0</v>
      </c>
      <c r="BV149" s="214"/>
      <c r="BW149" s="101"/>
      <c r="BX149" s="102"/>
      <c r="BY149" s="103">
        <f>($D$1-AJ149)*AX149</f>
        <v>0</v>
      </c>
      <c r="BZ149" s="104">
        <f>IF(AM149&gt;0,"-",(AE149-BX149))</f>
        <v>0</v>
      </c>
      <c r="CA149" s="105">
        <f>IF(AM149&gt;0,"-",(($D$1-BX149)*H149))</f>
        <v>0</v>
      </c>
      <c r="CB149" s="101"/>
      <c r="CC149" s="102"/>
      <c r="CD149" s="103"/>
      <c r="CE149" s="518"/>
      <c r="CF149" s="512" t="s">
        <v>130</v>
      </c>
      <c r="CK149" s="1313">
        <f t="shared" si="55"/>
        <v>0</v>
      </c>
      <c r="CL149" s="1302">
        <f t="shared" si="56"/>
        <v>0</v>
      </c>
      <c r="CM149" s="1321">
        <f t="shared" si="57"/>
        <v>0</v>
      </c>
      <c r="CN149" s="1321">
        <f t="shared" si="58"/>
        <v>0</v>
      </c>
      <c r="CO149" s="1321">
        <f t="shared" si="59"/>
        <v>0</v>
      </c>
      <c r="CP149" s="1312"/>
      <c r="CQ149" s="1312"/>
      <c r="CR149" s="1312"/>
      <c r="CS149" s="1313">
        <f t="shared" si="60"/>
        <v>0</v>
      </c>
      <c r="CT149" s="1302">
        <f t="shared" si="61"/>
        <v>0</v>
      </c>
      <c r="CU149" s="602"/>
    </row>
    <row r="150" spans="1:99" ht="30" hidden="1" customHeight="1" outlineLevel="1">
      <c r="A150" s="386"/>
      <c r="B150" s="505"/>
      <c r="C150" s="505"/>
      <c r="D150" s="247"/>
      <c r="E150" s="270"/>
      <c r="F150" s="270"/>
      <c r="G150" s="65"/>
      <c r="H150" s="80"/>
      <c r="I150" s="80"/>
      <c r="J150" s="80"/>
      <c r="K150" s="66"/>
      <c r="L150" s="252">
        <f t="shared" ca="1" si="62"/>
        <v>0</v>
      </c>
      <c r="M150" s="63"/>
      <c r="N150" s="71"/>
      <c r="O150" s="71"/>
      <c r="P150" s="71"/>
      <c r="Q150" s="71"/>
      <c r="R150" s="273"/>
      <c r="S150" s="63"/>
      <c r="T150" s="71"/>
      <c r="U150" s="287"/>
      <c r="V150" s="71"/>
      <c r="W150" s="71"/>
      <c r="X150" s="63"/>
      <c r="Y150" s="71"/>
      <c r="Z150" s="287"/>
      <c r="AA150" s="71"/>
      <c r="AB150" s="274"/>
      <c r="AC150" s="135"/>
      <c r="AD150" s="135"/>
      <c r="AE150" s="135"/>
      <c r="AF150" s="74"/>
      <c r="AG150" s="75"/>
      <c r="AH150" s="276"/>
      <c r="AI150" s="77"/>
      <c r="AJ150" s="77"/>
      <c r="AK150" s="74"/>
      <c r="AL150" s="75"/>
      <c r="AM150" s="78"/>
      <c r="AN150" s="74"/>
      <c r="AO150" s="256"/>
      <c r="AP150" s="74"/>
      <c r="AQ150" s="112"/>
      <c r="AR150" s="247"/>
      <c r="AS150" s="247"/>
      <c r="AT150" s="247"/>
      <c r="AU150" s="317"/>
      <c r="AV150" s="258"/>
      <c r="AW150" s="514"/>
      <c r="AX150" s="84"/>
      <c r="AY150" s="64"/>
      <c r="AZ150" s="64"/>
      <c r="BA150" s="515"/>
      <c r="BB150" s="516"/>
      <c r="BC150" s="933"/>
      <c r="BD150" s="375"/>
      <c r="BE150" s="517"/>
      <c r="BF150" s="91"/>
      <c r="BG150" s="91"/>
      <c r="BH150" s="93"/>
      <c r="BI150" s="91"/>
      <c r="BJ150" s="93"/>
      <c r="BK150" s="93"/>
      <c r="BL150" s="91"/>
      <c r="BM150" s="91"/>
      <c r="BN150" s="94"/>
      <c r="BO150" s="1319"/>
      <c r="BP150" s="1388">
        <f t="shared" si="52"/>
        <v>0</v>
      </c>
      <c r="BQ150" s="131"/>
      <c r="BR150" s="132"/>
      <c r="BS150" s="99"/>
      <c r="BT150" s="284">
        <f t="shared" si="53"/>
        <v>0</v>
      </c>
      <c r="BU150" s="214">
        <f t="shared" si="54"/>
        <v>0</v>
      </c>
      <c r="BV150" s="214"/>
      <c r="BW150" s="101"/>
      <c r="BX150" s="102"/>
      <c r="BY150" s="103"/>
      <c r="BZ150" s="104"/>
      <c r="CA150" s="105"/>
      <c r="CB150" s="101"/>
      <c r="CC150" s="102"/>
      <c r="CD150" s="103"/>
      <c r="CE150" s="518"/>
      <c r="CF150" s="512" t="s">
        <v>130</v>
      </c>
      <c r="CK150" s="1313">
        <f t="shared" si="55"/>
        <v>0</v>
      </c>
      <c r="CL150" s="1302">
        <f t="shared" si="56"/>
        <v>0</v>
      </c>
      <c r="CM150" s="1321">
        <f t="shared" si="57"/>
        <v>0</v>
      </c>
      <c r="CN150" s="1321">
        <f t="shared" si="58"/>
        <v>0</v>
      </c>
      <c r="CO150" s="1321">
        <f t="shared" si="59"/>
        <v>0</v>
      </c>
      <c r="CP150" s="1312"/>
      <c r="CQ150" s="1312"/>
      <c r="CR150" s="1312"/>
      <c r="CS150" s="1313">
        <f t="shared" si="60"/>
        <v>0</v>
      </c>
      <c r="CT150" s="1302">
        <f t="shared" si="61"/>
        <v>0</v>
      </c>
      <c r="CU150" s="602"/>
    </row>
    <row r="151" spans="1:99" ht="30" hidden="1" customHeight="1" outlineLevel="1">
      <c r="A151" s="310"/>
      <c r="B151" s="505"/>
      <c r="C151" s="506"/>
      <c r="D151" s="62"/>
      <c r="E151" s="914"/>
      <c r="F151" s="915"/>
      <c r="G151" s="65"/>
      <c r="H151" s="80"/>
      <c r="I151" s="80"/>
      <c r="J151" s="80"/>
      <c r="K151" s="66"/>
      <c r="L151" s="252">
        <f t="shared" ca="1" si="62"/>
        <v>0</v>
      </c>
      <c r="M151" s="252"/>
      <c r="N151" s="519"/>
      <c r="O151" s="520"/>
      <c r="P151" s="520"/>
      <c r="Q151" s="520"/>
      <c r="R151" s="249"/>
      <c r="S151" s="64"/>
      <c r="T151" s="70"/>
      <c r="U151" s="508"/>
      <c r="V151" s="71"/>
      <c r="W151" s="508"/>
      <c r="X151" s="64"/>
      <c r="Y151" s="70"/>
      <c r="Z151" s="508"/>
      <c r="AA151" s="71"/>
      <c r="AB151" s="274"/>
      <c r="AC151" s="135"/>
      <c r="AD151" s="135"/>
      <c r="AE151" s="135"/>
      <c r="AF151" s="74"/>
      <c r="AG151" s="75"/>
      <c r="AH151" s="276"/>
      <c r="AI151" s="77"/>
      <c r="AJ151" s="77"/>
      <c r="AK151" s="74"/>
      <c r="AL151" s="75"/>
      <c r="AM151" s="78"/>
      <c r="AN151" s="74"/>
      <c r="AO151" s="74"/>
      <c r="AP151" s="74"/>
      <c r="AQ151" s="66"/>
      <c r="AR151" s="247"/>
      <c r="AS151" s="247"/>
      <c r="AT151" s="247"/>
      <c r="AU151" s="317"/>
      <c r="AV151" s="916"/>
      <c r="AW151" s="448"/>
      <c r="AX151" s="84"/>
      <c r="AY151" s="64"/>
      <c r="AZ151" s="64"/>
      <c r="BA151" s="312"/>
      <c r="BB151" s="516"/>
      <c r="BC151" s="1596"/>
      <c r="BD151" s="918"/>
      <c r="BE151" s="918"/>
      <c r="BF151" s="94"/>
      <c r="BG151" s="91"/>
      <c r="BH151" s="91"/>
      <c r="BI151" s="91"/>
      <c r="BJ151" s="91"/>
      <c r="BK151" s="91"/>
      <c r="BL151" s="91"/>
      <c r="BM151" s="94"/>
      <c r="BN151" s="383"/>
      <c r="BO151" s="1597"/>
      <c r="BP151" s="1388">
        <f t="shared" si="52"/>
        <v>0</v>
      </c>
      <c r="BQ151" s="131"/>
      <c r="BR151" s="131"/>
      <c r="BS151" s="99"/>
      <c r="BT151" s="385">
        <f t="shared" si="53"/>
        <v>0</v>
      </c>
      <c r="BU151" s="214">
        <f t="shared" si="54"/>
        <v>0</v>
      </c>
      <c r="BV151" s="214"/>
      <c r="BW151" s="101"/>
      <c r="BX151" s="102"/>
      <c r="BY151" s="103"/>
      <c r="BZ151" s="125"/>
      <c r="CA151" s="105"/>
      <c r="CB151" s="106"/>
      <c r="CC151" s="107"/>
      <c r="CD151" s="108"/>
      <c r="CE151" s="377"/>
      <c r="CF151" s="512"/>
      <c r="CK151" s="1313">
        <f t="shared" si="55"/>
        <v>0</v>
      </c>
      <c r="CL151" s="1302">
        <f t="shared" si="56"/>
        <v>0</v>
      </c>
      <c r="CM151" s="1321">
        <f t="shared" si="57"/>
        <v>0</v>
      </c>
      <c r="CN151" s="1321">
        <f t="shared" si="58"/>
        <v>0</v>
      </c>
      <c r="CO151" s="1321">
        <f t="shared" si="59"/>
        <v>0</v>
      </c>
      <c r="CP151" s="1312"/>
      <c r="CQ151" s="1312"/>
      <c r="CR151" s="1312"/>
      <c r="CS151" s="1313">
        <f t="shared" si="60"/>
        <v>0</v>
      </c>
      <c r="CT151" s="1302">
        <f t="shared" si="61"/>
        <v>0</v>
      </c>
      <c r="CU151" s="602"/>
    </row>
    <row r="152" spans="1:99" ht="30" hidden="1" customHeight="1" outlineLevel="1">
      <c r="A152" s="386"/>
      <c r="B152" s="505"/>
      <c r="C152" s="506"/>
      <c r="D152" s="62"/>
      <c r="E152" s="914"/>
      <c r="F152" s="915"/>
      <c r="G152" s="65"/>
      <c r="H152" s="80"/>
      <c r="I152" s="80"/>
      <c r="J152" s="80"/>
      <c r="K152" s="66"/>
      <c r="L152" s="252">
        <f t="shared" ca="1" si="62"/>
        <v>0</v>
      </c>
      <c r="M152" s="252"/>
      <c r="N152" s="519"/>
      <c r="O152" s="520"/>
      <c r="P152" s="520"/>
      <c r="Q152" s="520"/>
      <c r="R152" s="249"/>
      <c r="S152" s="64"/>
      <c r="T152" s="70"/>
      <c r="U152" s="508"/>
      <c r="V152" s="71"/>
      <c r="W152" s="508"/>
      <c r="X152" s="64"/>
      <c r="Y152" s="70"/>
      <c r="Z152" s="508"/>
      <c r="AA152" s="71"/>
      <c r="AB152" s="274"/>
      <c r="AC152" s="135"/>
      <c r="AD152" s="135"/>
      <c r="AE152" s="135"/>
      <c r="AF152" s="74"/>
      <c r="AG152" s="75"/>
      <c r="AH152" s="276"/>
      <c r="AI152" s="77"/>
      <c r="AJ152" s="77"/>
      <c r="AK152" s="74"/>
      <c r="AL152" s="75"/>
      <c r="AM152" s="78"/>
      <c r="AN152" s="74"/>
      <c r="AO152" s="74"/>
      <c r="AP152" s="74"/>
      <c r="AQ152" s="66"/>
      <c r="AR152" s="247"/>
      <c r="AS152" s="247"/>
      <c r="AT152" s="247"/>
      <c r="AU152" s="317"/>
      <c r="AV152" s="916"/>
      <c r="AW152" s="448"/>
      <c r="AX152" s="84"/>
      <c r="AY152" s="64"/>
      <c r="AZ152" s="64"/>
      <c r="BA152" s="312"/>
      <c r="BB152" s="516"/>
      <c r="BC152" s="1598"/>
      <c r="BD152" s="918"/>
      <c r="BE152" s="918"/>
      <c r="BF152" s="94"/>
      <c r="BG152" s="91"/>
      <c r="BH152" s="91"/>
      <c r="BI152" s="91"/>
      <c r="BJ152" s="91"/>
      <c r="BK152" s="91"/>
      <c r="BL152" s="91"/>
      <c r="BM152" s="94"/>
      <c r="BN152" s="921"/>
      <c r="BO152" s="1599"/>
      <c r="BP152" s="1388">
        <f t="shared" si="52"/>
        <v>0</v>
      </c>
      <c r="BQ152" s="131"/>
      <c r="BR152" s="131"/>
      <c r="BS152" s="99"/>
      <c r="BT152" s="385">
        <f t="shared" si="53"/>
        <v>0</v>
      </c>
      <c r="BU152" s="214">
        <f t="shared" si="54"/>
        <v>0</v>
      </c>
      <c r="BV152" s="214"/>
      <c r="BW152" s="101"/>
      <c r="BX152" s="102"/>
      <c r="BY152" s="103"/>
      <c r="BZ152" s="104"/>
      <c r="CA152" s="105"/>
      <c r="CB152" s="106"/>
      <c r="CC152" s="107"/>
      <c r="CD152" s="108"/>
      <c r="CE152" s="377"/>
      <c r="CF152" s="394"/>
      <c r="CK152" s="1313">
        <f>IF($BP152&lt;=$B$1,T152-T152*CH152,T152)</f>
        <v>0</v>
      </c>
      <c r="CL152" s="1302">
        <f>IF($BP152&lt;=$B$1,S152-S152*CJ152,S152)</f>
        <v>0</v>
      </c>
      <c r="CM152" s="1321">
        <f>IF(CK152=0,M152-S152,($N152-$CK152)*$M152/$N152)</f>
        <v>0</v>
      </c>
      <c r="CN152" s="1321">
        <f>IF(CK152=0,0,-($CL152-$CK152*$M152/$N152))</f>
        <v>0</v>
      </c>
      <c r="CO152" s="1321">
        <f>CM152+CN152</f>
        <v>0</v>
      </c>
      <c r="CP152" s="1312"/>
      <c r="CQ152" s="1312"/>
      <c r="CR152" s="1312"/>
      <c r="CS152" s="1313">
        <f>IF($A152&lt;=$B$1,N152-N152*CP152,N152)</f>
        <v>0</v>
      </c>
      <c r="CT152" s="1302">
        <f>IF($A152&lt;=$B$1,M152-M152*CR152,M152)</f>
        <v>0</v>
      </c>
      <c r="CU152" s="602"/>
    </row>
    <row r="153" spans="1:99" ht="30" hidden="1" customHeight="1" outlineLevel="1" collapsed="1">
      <c r="A153" s="148" t="s">
        <v>86</v>
      </c>
      <c r="B153" s="149">
        <f>COUNTIF(A145:A152,$B$1)</f>
        <v>0</v>
      </c>
      <c r="C153" s="150"/>
      <c r="D153" s="151"/>
      <c r="E153" s="151"/>
      <c r="F153" s="151"/>
      <c r="G153" s="152">
        <f>SUMIF(A145:A152,$B$1,G145:G152)</f>
        <v>0</v>
      </c>
      <c r="H153" s="152">
        <f>SUMIF(A145:A152,$B$1,H145:H152)</f>
        <v>0</v>
      </c>
      <c r="I153" s="152">
        <f>SUM(I145:I152)</f>
        <v>0</v>
      </c>
      <c r="J153" s="152"/>
      <c r="K153" s="152"/>
      <c r="L153" s="153">
        <f>SUMIF(A145:A152,$B$1,L145:L152)</f>
        <v>0</v>
      </c>
      <c r="M153" s="153">
        <f>SUMIF(A145:A152,$B$1,M145:M152)</f>
        <v>0</v>
      </c>
      <c r="N153" s="152"/>
      <c r="O153" s="152"/>
      <c r="P153" s="152"/>
      <c r="Q153" s="152"/>
      <c r="R153" s="152"/>
      <c r="S153" s="152"/>
      <c r="T153" s="152"/>
      <c r="U153" s="151"/>
      <c r="V153" s="151"/>
      <c r="W153" s="151"/>
      <c r="X153" s="152"/>
      <c r="Y153" s="152"/>
      <c r="Z153" s="151"/>
      <c r="AA153" s="151"/>
      <c r="AB153" s="151"/>
      <c r="AC153" s="154"/>
      <c r="AD153" s="155"/>
      <c r="AE153" s="156"/>
      <c r="AF153" s="152"/>
      <c r="AG153" s="157"/>
      <c r="AH153" s="730"/>
      <c r="AI153" s="156"/>
      <c r="AJ153" s="156"/>
      <c r="AK153" s="152"/>
      <c r="AL153" s="157"/>
      <c r="AM153" s="297">
        <f>COUNTA(AM145:AM152)</f>
        <v>0</v>
      </c>
      <c r="AN153" s="152">
        <f>SUM(AN145:AN152)</f>
        <v>0</v>
      </c>
      <c r="AO153" s="152">
        <f>SUM(AO145:AO152)</f>
        <v>0</v>
      </c>
      <c r="AP153" s="161"/>
      <c r="AQ153" s="151"/>
      <c r="AR153" s="151"/>
      <c r="AS153" s="151"/>
      <c r="AT153" s="151"/>
      <c r="AU153" s="151"/>
      <c r="AV153" s="151"/>
      <c r="AW153" s="682"/>
      <c r="AX153" s="163">
        <f>SUM(AX145:AX152)</f>
        <v>0</v>
      </c>
      <c r="AY153" s="163">
        <f>SUM(AY145:AY152)</f>
        <v>0</v>
      </c>
      <c r="AZ153" s="163">
        <f>SUM(AZ145:AZ152)</f>
        <v>0</v>
      </c>
      <c r="BA153" s="221" t="str">
        <f>IF(COUNT(BA145:BA152)=0,"-",AVERAGE(BA145:BA152))</f>
        <v>-</v>
      </c>
      <c r="BB153" s="1386"/>
      <c r="BC153" s="165"/>
      <c r="BD153" s="222"/>
      <c r="BE153" s="223"/>
      <c r="BF153" s="895"/>
      <c r="BG153" s="895"/>
      <c r="BH153" s="895"/>
      <c r="BI153" s="895"/>
      <c r="BJ153" s="895"/>
      <c r="BK153" s="895"/>
      <c r="BL153" s="895"/>
      <c r="BM153" s="895"/>
      <c r="BN153" s="176"/>
      <c r="BO153" s="577"/>
      <c r="BP153" s="1591"/>
      <c r="BQ153" s="898"/>
      <c r="BR153" s="899"/>
      <c r="BS153" s="871"/>
      <c r="BT153" s="897"/>
      <c r="BU153" s="908"/>
      <c r="BV153" s="909"/>
      <c r="BW153" s="171"/>
      <c r="BX153" s="172"/>
      <c r="BY153" s="173">
        <f>AM153</f>
        <v>0</v>
      </c>
      <c r="BZ153" s="173">
        <f>COUNTIF(BZ145:BZ152,"=0")</f>
        <v>5</v>
      </c>
      <c r="CA153" s="174">
        <f>SUM(COUNTIF(BZ145:BZ152,"&lt;0"),COUNTIF(BZ145:BZ152,"&gt;0"))</f>
        <v>0</v>
      </c>
      <c r="CB153" s="225"/>
      <c r="CC153" s="226"/>
      <c r="CD153" s="227"/>
      <c r="CE153" s="228"/>
      <c r="CF153" s="178"/>
      <c r="CK153" s="1354">
        <f>SUMIF($BP145:$BP152,$B$1,CK145:CK152)</f>
        <v>0</v>
      </c>
      <c r="CL153" s="1355">
        <f>SUMIF($BP145:$BP152,$B$1,CL145:CL152)</f>
        <v>0</v>
      </c>
      <c r="CM153" s="1355">
        <f>SUMIF($A145:$A152,$B$1,CM145:CM152)</f>
        <v>0</v>
      </c>
      <c r="CN153" s="1355">
        <f>SUMIF($A145:$A152,$B$1,CN145:CN152)</f>
        <v>0</v>
      </c>
      <c r="CO153" s="1356">
        <f>SUMIF($A145:$A152,$B$1,CO145:CO152)</f>
        <v>0</v>
      </c>
      <c r="CP153" s="1312"/>
      <c r="CQ153" s="1312"/>
      <c r="CR153" s="1312"/>
      <c r="CS153" s="1354">
        <f>SUMIF($A145:$A152,$B$1,CS145:CS152)</f>
        <v>0</v>
      </c>
      <c r="CT153" s="1354">
        <f>SUMIF($A145:$A152,$B$1,CT145:CT152)</f>
        <v>0</v>
      </c>
      <c r="CU153" s="602"/>
    </row>
    <row r="154" spans="1:99" ht="30" hidden="1" customHeight="1" outlineLevel="1">
      <c r="A154" s="179" t="s">
        <v>87</v>
      </c>
      <c r="B154" s="348">
        <f>COUNT(A145:A152)</f>
        <v>0</v>
      </c>
      <c r="C154" s="181"/>
      <c r="D154" s="182"/>
      <c r="E154" s="182"/>
      <c r="F154" s="182"/>
      <c r="G154" s="184">
        <f>SUM(G145:G152)</f>
        <v>0</v>
      </c>
      <c r="H154" s="184">
        <f>SUMIF(A145:A151,"&gt;0",H145:H151)</f>
        <v>0</v>
      </c>
      <c r="I154" s="184"/>
      <c r="J154" s="184">
        <f>SUM(J145:J152)</f>
        <v>0</v>
      </c>
      <c r="K154" s="184"/>
      <c r="L154" s="185"/>
      <c r="M154" s="184"/>
      <c r="N154" s="184"/>
      <c r="O154" s="184"/>
      <c r="P154" s="184"/>
      <c r="Q154" s="184"/>
      <c r="R154" s="185"/>
      <c r="S154" s="185">
        <f>SUMIF(AE145:AE152,"переход",S145:S152)</f>
        <v>0</v>
      </c>
      <c r="T154" s="185"/>
      <c r="U154" s="182"/>
      <c r="V154" s="182"/>
      <c r="W154" s="182"/>
      <c r="X154" s="185">
        <f>SUMIF(AK145:AK152,"перех.",X145:X152)</f>
        <v>0</v>
      </c>
      <c r="Y154" s="185"/>
      <c r="Z154" s="182"/>
      <c r="AA154" s="182"/>
      <c r="AB154" s="182"/>
      <c r="AC154" s="186"/>
      <c r="AD154" s="186"/>
      <c r="AE154" s="186"/>
      <c r="AF154" s="184">
        <f>COUNT(AG145:AG152)</f>
        <v>0</v>
      </c>
      <c r="AG154" s="191">
        <f>SUM(AG145:AG152)</f>
        <v>0</v>
      </c>
      <c r="AH154" s="186"/>
      <c r="AI154" s="186"/>
      <c r="AJ154" s="186"/>
      <c r="AK154" s="184"/>
      <c r="AL154" s="184"/>
      <c r="AM154" s="182"/>
      <c r="AN154" s="182"/>
      <c r="AO154" s="182"/>
      <c r="AP154" s="187"/>
      <c r="AQ154" s="182"/>
      <c r="AR154" s="182"/>
      <c r="AS154" s="182"/>
      <c r="AT154" s="182"/>
      <c r="AU154" s="182"/>
      <c r="AV154" s="182"/>
      <c r="AW154" s="923"/>
      <c r="AX154" s="190"/>
      <c r="AY154" s="190"/>
      <c r="AZ154" s="190"/>
      <c r="BA154" s="304"/>
      <c r="BB154" s="188">
        <f>SUM(BB145:BB152)</f>
        <v>0</v>
      </c>
      <c r="BC154" s="190"/>
      <c r="BD154" s="189"/>
      <c r="BE154" s="190"/>
      <c r="BF154" s="900"/>
      <c r="BG154" s="900"/>
      <c r="BH154" s="900"/>
      <c r="BI154" s="900"/>
      <c r="BJ154" s="900"/>
      <c r="BK154" s="900"/>
      <c r="BL154" s="900"/>
      <c r="BM154" s="900"/>
      <c r="BN154" s="308"/>
      <c r="BO154" s="230"/>
      <c r="BP154" s="1588"/>
      <c r="BQ154" s="875"/>
      <c r="BR154" s="875"/>
      <c r="BS154" s="474"/>
      <c r="BT154" s="192"/>
      <c r="BU154" s="193"/>
      <c r="BV154" s="193"/>
      <c r="BW154" s="195"/>
      <c r="BX154" s="196"/>
      <c r="BY154" s="197">
        <f>SUM(BY145:BY152)</f>
        <v>0</v>
      </c>
      <c r="BZ154" s="197">
        <f>SUMIF(BZ145:BZ152,"=0",CA145:CA152)</f>
        <v>0</v>
      </c>
      <c r="CA154" s="198">
        <f>SUMIF(BZ151:BZ152,"&lt;&gt;0",CA151:CA152)</f>
        <v>0</v>
      </c>
      <c r="CB154" s="234"/>
      <c r="CC154" s="197"/>
      <c r="CD154" s="197"/>
      <c r="CE154" s="198"/>
      <c r="CF154" s="744"/>
      <c r="CK154" s="1357"/>
      <c r="CL154" s="1358">
        <f>CL153-$S153</f>
        <v>0</v>
      </c>
      <c r="CM154" s="1357"/>
      <c r="CN154" s="1359"/>
      <c r="CO154" s="1357"/>
      <c r="CP154" s="1312"/>
      <c r="CQ154" s="1312"/>
      <c r="CR154" s="1312"/>
      <c r="CS154" s="1357"/>
      <c r="CT154" s="1358">
        <f>CT153-$M153</f>
        <v>0</v>
      </c>
      <c r="CU154" s="602"/>
    </row>
    <row r="155" spans="1:99" ht="30" hidden="1" customHeight="1" outlineLevel="1" collapsed="1">
      <c r="A155" s="2147" t="s">
        <v>240</v>
      </c>
      <c r="B155" s="2147"/>
      <c r="C155" s="2147"/>
      <c r="D155" s="2147"/>
      <c r="E155" s="2147"/>
      <c r="F155" s="2147"/>
      <c r="G155" s="2147"/>
      <c r="H155" s="2147"/>
      <c r="I155" s="2147"/>
      <c r="J155" s="2147"/>
      <c r="K155" s="2147"/>
      <c r="L155" s="2147"/>
      <c r="M155" s="2147"/>
      <c r="N155" s="2147"/>
      <c r="O155" s="2147"/>
      <c r="P155" s="2147"/>
      <c r="Q155" s="2147"/>
      <c r="R155" s="2147"/>
      <c r="S155" s="2147"/>
      <c r="T155" s="2147"/>
      <c r="U155" s="2147"/>
      <c r="V155" s="2147"/>
      <c r="W155" s="2147"/>
      <c r="X155" s="2147"/>
      <c r="Y155" s="2147"/>
      <c r="Z155" s="2147"/>
      <c r="AA155" s="2147"/>
      <c r="AB155" s="2147"/>
      <c r="AC155" s="2147"/>
      <c r="AD155" s="2147"/>
      <c r="AE155" s="2147"/>
      <c r="AF155" s="2147"/>
      <c r="AG155" s="2147"/>
      <c r="AH155" s="2147"/>
      <c r="AI155" s="2147"/>
      <c r="AJ155" s="2147"/>
      <c r="AK155" s="2147"/>
      <c r="AL155" s="2147"/>
      <c r="AM155" s="2147"/>
      <c r="AN155" s="2147"/>
      <c r="AO155" s="2147"/>
      <c r="AP155" s="2147"/>
      <c r="AQ155" s="2147"/>
      <c r="AR155" s="2147"/>
      <c r="AS155" s="2147"/>
      <c r="AT155" s="2147"/>
      <c r="AU155" s="2147"/>
      <c r="AV155" s="2147"/>
      <c r="AW155" s="2147"/>
      <c r="AX155" s="2147"/>
      <c r="AY155" s="2147"/>
      <c r="AZ155" s="2147"/>
      <c r="BA155" s="2147"/>
      <c r="BB155" s="2147"/>
      <c r="BC155" s="2147"/>
      <c r="BD155" s="242"/>
      <c r="BE155" s="241"/>
      <c r="BF155" s="924"/>
      <c r="BG155" s="924"/>
      <c r="BH155" s="924"/>
      <c r="BI155" s="924"/>
      <c r="BJ155" s="924"/>
      <c r="BK155" s="924"/>
      <c r="BL155" s="924"/>
      <c r="BM155" s="924"/>
      <c r="BN155" s="243"/>
      <c r="BO155" s="244"/>
      <c r="BP155" s="207"/>
      <c r="BQ155" s="208"/>
      <c r="BR155" s="208"/>
      <c r="BS155" s="209"/>
      <c r="BT155" s="207"/>
      <c r="BU155" s="208"/>
      <c r="BV155" s="209"/>
      <c r="BW155" s="482"/>
      <c r="BX155" s="478"/>
      <c r="BY155" s="478"/>
      <c r="BZ155" s="478"/>
      <c r="CA155" s="47"/>
      <c r="CB155" s="926"/>
      <c r="CC155" s="478"/>
      <c r="CD155" s="478"/>
      <c r="CE155" s="47"/>
      <c r="CF155" s="246"/>
      <c r="CK155" s="1361"/>
      <c r="CL155" s="1315"/>
      <c r="CM155" s="1315"/>
      <c r="CN155" s="1315"/>
      <c r="CO155" s="1315"/>
      <c r="CP155" s="1315"/>
      <c r="CQ155" s="1315"/>
      <c r="CR155" s="1315"/>
      <c r="CS155" s="1361"/>
      <c r="CT155" s="1315"/>
      <c r="CU155" s="602"/>
    </row>
    <row r="156" spans="1:99" ht="30" hidden="1" customHeight="1" outlineLevel="1">
      <c r="A156" s="310"/>
      <c r="B156" s="247"/>
      <c r="C156" s="505"/>
      <c r="D156" s="62"/>
      <c r="E156" s="62"/>
      <c r="F156" s="247"/>
      <c r="G156" s="80">
        <f>M156-S156</f>
        <v>0</v>
      </c>
      <c r="H156" s="80">
        <f>M156-S156</f>
        <v>0</v>
      </c>
      <c r="I156" s="80">
        <f>IF($B$2&gt;=A156,($B$2-A156+1)*H156,"-")</f>
        <v>0</v>
      </c>
      <c r="J156" s="65">
        <f>($A$2-A156+1)*H156</f>
        <v>0</v>
      </c>
      <c r="K156" s="629"/>
      <c r="L156" s="252">
        <f ca="1">IF((AC156)&lt;$L$2-DAY($L$2)+1,H156,H156+S156)</f>
        <v>0</v>
      </c>
      <c r="M156" s="63"/>
      <c r="N156" s="71"/>
      <c r="O156" s="69"/>
      <c r="P156" s="71"/>
      <c r="Q156" s="71"/>
      <c r="R156" s="273"/>
      <c r="S156" s="63"/>
      <c r="T156" s="71"/>
      <c r="U156" s="287"/>
      <c r="V156" s="71"/>
      <c r="W156" s="71"/>
      <c r="X156" s="63"/>
      <c r="Y156" s="71"/>
      <c r="Z156" s="287"/>
      <c r="AA156" s="71"/>
      <c r="AB156" s="274" t="s">
        <v>129</v>
      </c>
      <c r="AC156" s="73"/>
      <c r="AD156" s="135"/>
      <c r="AE156" s="555"/>
      <c r="AF156" s="74"/>
      <c r="AG156" s="75"/>
      <c r="AH156" s="135"/>
      <c r="AI156" s="255"/>
      <c r="AJ156" s="255"/>
      <c r="AK156" s="74"/>
      <c r="AL156" s="75"/>
      <c r="AM156" s="78"/>
      <c r="AN156" s="74"/>
      <c r="AO156" s="63"/>
      <c r="AP156" s="74"/>
      <c r="AQ156" s="80"/>
      <c r="AR156" s="112"/>
      <c r="AS156" s="252"/>
      <c r="AT156" s="252"/>
      <c r="AU156" s="252"/>
      <c r="AV156" s="258"/>
      <c r="AW156" s="448"/>
      <c r="AX156" s="84"/>
      <c r="AY156" s="64"/>
      <c r="AZ156" s="64"/>
      <c r="BA156" s="515"/>
      <c r="BB156" s="516"/>
      <c r="BC156" s="927"/>
      <c r="BD156" s="928"/>
      <c r="BE156" s="90"/>
      <c r="BF156" s="929"/>
      <c r="BG156" s="929"/>
      <c r="BH156" s="929"/>
      <c r="BI156" s="929"/>
      <c r="BJ156" s="929"/>
      <c r="BK156" s="929"/>
      <c r="BL156" s="91"/>
      <c r="BM156" s="91"/>
      <c r="BN156" s="94"/>
      <c r="BO156" s="95"/>
      <c r="BP156" s="1485">
        <f t="shared" ref="BP156:BP162" si="63">AC156</f>
        <v>0</v>
      </c>
      <c r="BQ156" s="131"/>
      <c r="BR156" s="131"/>
      <c r="BS156" s="99"/>
      <c r="BT156" s="284">
        <f t="shared" ref="BT156:BT162" si="64">S156</f>
        <v>0</v>
      </c>
      <c r="BU156" s="214">
        <f t="shared" ref="BU156:BU162" si="65">AG156</f>
        <v>0</v>
      </c>
      <c r="BV156" s="214"/>
      <c r="BW156" s="101"/>
      <c r="BX156" s="133"/>
      <c r="BY156" s="103">
        <f>($D$1-AJ156)*AX156</f>
        <v>0</v>
      </c>
      <c r="BZ156" s="104"/>
      <c r="CA156" s="105"/>
      <c r="CB156" s="930"/>
      <c r="CC156" s="263"/>
      <c r="CD156" s="263"/>
      <c r="CE156" s="931"/>
      <c r="CF156" s="512" t="s">
        <v>130</v>
      </c>
      <c r="CH156" s="1322">
        <v>1.3909186071080555E-2</v>
      </c>
      <c r="CI156" s="1322">
        <v>4.4869140286041293E-3</v>
      </c>
      <c r="CJ156" s="1322">
        <v>1.8396100099684683E-2</v>
      </c>
      <c r="CK156" s="1313">
        <f t="shared" ref="CK156:CK162" si="66">IF($BP156&lt;=$B$1,T156-T156*CH156,T156)</f>
        <v>0</v>
      </c>
      <c r="CL156" s="1302">
        <f t="shared" ref="CL156:CL162" si="67">IF($BP156&lt;=$B$1,S156-S156*CJ156,S156)</f>
        <v>0</v>
      </c>
      <c r="CM156" s="1321">
        <f t="shared" ref="CM156:CM162" si="68">IF(CK156=0,M156-S156,($N156-$CK156)*$M156/$N156)</f>
        <v>0</v>
      </c>
      <c r="CN156" s="1321">
        <f t="shared" ref="CN156:CN162" si="69">IF(CK156=0,0,-($CL156-$CK156*$M156/$N156))</f>
        <v>0</v>
      </c>
      <c r="CO156" s="1321">
        <f t="shared" ref="CO156:CO162" si="70">CM156+CN156</f>
        <v>0</v>
      </c>
      <c r="CP156" s="1322">
        <v>1.1351085035564191E-2</v>
      </c>
      <c r="CQ156" s="1322">
        <v>3.5021320247329221E-3</v>
      </c>
      <c r="CR156" s="1322">
        <v>1.4853217060297115E-2</v>
      </c>
      <c r="CS156" s="1313">
        <f t="shared" ref="CS156:CS162" si="71">IF($A156&lt;=$B$1,N156-N156*CP156,N156)</f>
        <v>0</v>
      </c>
      <c r="CT156" s="1321">
        <f t="shared" ref="CT156:CT162" si="72">IF($A156&lt;=$B$1,M156-M156*CR156,M156)</f>
        <v>0</v>
      </c>
      <c r="CU156" s="602"/>
    </row>
    <row r="157" spans="1:99" ht="30" hidden="1" customHeight="1" outlineLevel="1">
      <c r="A157" s="310"/>
      <c r="B157" s="505"/>
      <c r="C157" s="505"/>
      <c r="D157" s="61"/>
      <c r="E157" s="62"/>
      <c r="F157" s="247"/>
      <c r="G157" s="80"/>
      <c r="H157" s="80"/>
      <c r="I157" s="80"/>
      <c r="J157" s="65"/>
      <c r="K157" s="629"/>
      <c r="L157" s="252"/>
      <c r="M157" s="63"/>
      <c r="N157" s="71"/>
      <c r="O157" s="69"/>
      <c r="P157" s="71"/>
      <c r="Q157" s="71"/>
      <c r="R157" s="273"/>
      <c r="S157" s="63"/>
      <c r="T157" s="71"/>
      <c r="U157" s="287"/>
      <c r="V157" s="71"/>
      <c r="W157" s="71"/>
      <c r="X157" s="63"/>
      <c r="Y157" s="71"/>
      <c r="Z157" s="287"/>
      <c r="AA157" s="71"/>
      <c r="AB157" s="274" t="s">
        <v>129</v>
      </c>
      <c r="AC157" s="73"/>
      <c r="AD157" s="135"/>
      <c r="AE157" s="555">
        <f>AD157</f>
        <v>0</v>
      </c>
      <c r="AF157" s="74"/>
      <c r="AG157" s="75"/>
      <c r="AH157" s="135"/>
      <c r="AI157" s="255"/>
      <c r="AJ157" s="255"/>
      <c r="AK157" s="74"/>
      <c r="AL157" s="75"/>
      <c r="AM157" s="78"/>
      <c r="AN157" s="74"/>
      <c r="AO157" s="63"/>
      <c r="AP157" s="74"/>
      <c r="AQ157" s="80"/>
      <c r="AR157" s="112"/>
      <c r="AS157" s="252"/>
      <c r="AT157" s="252"/>
      <c r="AU157" s="252"/>
      <c r="AV157" s="258"/>
      <c r="AW157" s="448"/>
      <c r="AX157" s="84" t="str">
        <f>IF(AN157&lt;1,"-",AN157-BR157)</f>
        <v>-</v>
      </c>
      <c r="AY157" s="64" t="str">
        <f>IF(AX157="-","-",($B$2-AM157+1)*AX157)</f>
        <v>-</v>
      </c>
      <c r="AZ157" s="64" t="str">
        <f>IF(AX157="-","-",AX157-G157)</f>
        <v>-</v>
      </c>
      <c r="BA157" s="515" t="str">
        <f>IF(AX157="-","-",AX157/G157)</f>
        <v>-</v>
      </c>
      <c r="BB157" s="516"/>
      <c r="BC157" s="927"/>
      <c r="BD157" s="928"/>
      <c r="BE157" s="90"/>
      <c r="BF157" s="929"/>
      <c r="BG157" s="929"/>
      <c r="BH157" s="929"/>
      <c r="BI157" s="929"/>
      <c r="BJ157" s="929"/>
      <c r="BK157" s="929"/>
      <c r="BL157" s="91"/>
      <c r="BM157" s="91"/>
      <c r="BN157" s="94"/>
      <c r="BO157" s="95"/>
      <c r="BP157" s="1485">
        <f t="shared" si="63"/>
        <v>0</v>
      </c>
      <c r="BQ157" s="131"/>
      <c r="BR157" s="131"/>
      <c r="BS157" s="99" t="str">
        <f t="shared" ref="BS157:BS162" si="73">IF(AM157&lt;1,"",(AM157))</f>
        <v/>
      </c>
      <c r="BT157" s="284">
        <f t="shared" si="64"/>
        <v>0</v>
      </c>
      <c r="BU157" s="214">
        <f t="shared" si="65"/>
        <v>0</v>
      </c>
      <c r="BV157" s="214" t="str">
        <f>IF(AE157&gt;$CC$7,S157,IF(AE157="перех",(S157),"-"))</f>
        <v>-</v>
      </c>
      <c r="BW157" s="101"/>
      <c r="BX157" s="133"/>
      <c r="BY157" s="103" t="e">
        <f>($D$1-AJ157)*AX157</f>
        <v>#VALUE!</v>
      </c>
      <c r="BZ157" s="104"/>
      <c r="CA157" s="105"/>
      <c r="CB157" s="930"/>
      <c r="CC157" s="263"/>
      <c r="CD157" s="263"/>
      <c r="CE157" s="931"/>
      <c r="CF157" s="512" t="s">
        <v>130</v>
      </c>
      <c r="CH157" s="1322">
        <v>1.2E-2</v>
      </c>
      <c r="CI157" s="1322">
        <v>-4.0000000000000001E-3</v>
      </c>
      <c r="CJ157" s="1322">
        <v>8.0000000000000002E-3</v>
      </c>
      <c r="CK157" s="1313">
        <f t="shared" si="66"/>
        <v>0</v>
      </c>
      <c r="CL157" s="1302">
        <f t="shared" si="67"/>
        <v>0</v>
      </c>
      <c r="CM157" s="1321">
        <f t="shared" si="68"/>
        <v>0</v>
      </c>
      <c r="CN157" s="1321">
        <f t="shared" si="69"/>
        <v>0</v>
      </c>
      <c r="CO157" s="1321">
        <f t="shared" si="70"/>
        <v>0</v>
      </c>
      <c r="CP157" s="1312">
        <v>1.0999999999999999E-2</v>
      </c>
      <c r="CQ157" s="1312">
        <v>0.01</v>
      </c>
      <c r="CR157" s="1312">
        <v>2.1000000000000001E-2</v>
      </c>
      <c r="CS157" s="1313">
        <f t="shared" si="71"/>
        <v>0</v>
      </c>
      <c r="CT157" s="1302">
        <f t="shared" si="72"/>
        <v>0</v>
      </c>
      <c r="CU157" s="602"/>
    </row>
    <row r="158" spans="1:99" ht="30" hidden="1" customHeight="1" outlineLevel="1">
      <c r="A158" s="310"/>
      <c r="B158" s="505"/>
      <c r="C158" s="505"/>
      <c r="D158" s="248"/>
      <c r="E158" s="62"/>
      <c r="F158" s="247"/>
      <c r="G158" s="80"/>
      <c r="H158" s="80"/>
      <c r="I158" s="80"/>
      <c r="J158" s="65"/>
      <c r="K158" s="66"/>
      <c r="L158" s="252"/>
      <c r="M158" s="63"/>
      <c r="N158" s="71"/>
      <c r="O158" s="69"/>
      <c r="P158" s="71"/>
      <c r="Q158" s="71"/>
      <c r="R158" s="273"/>
      <c r="S158" s="63"/>
      <c r="T158" s="71"/>
      <c r="U158" s="287"/>
      <c r="V158" s="71"/>
      <c r="W158" s="71"/>
      <c r="X158" s="63"/>
      <c r="Y158" s="71"/>
      <c r="Z158" s="287"/>
      <c r="AA158" s="71"/>
      <c r="AB158" s="274"/>
      <c r="AC158" s="906"/>
      <c r="AD158" s="135"/>
      <c r="AE158" s="555"/>
      <c r="AF158" s="74"/>
      <c r="AG158" s="75"/>
      <c r="AH158" s="319"/>
      <c r="AI158" s="288"/>
      <c r="AJ158" s="77"/>
      <c r="AK158" s="74"/>
      <c r="AL158" s="75"/>
      <c r="AM158" s="78"/>
      <c r="AN158" s="74"/>
      <c r="AO158" s="63"/>
      <c r="AP158" s="74"/>
      <c r="AQ158" s="80"/>
      <c r="AR158" s="68"/>
      <c r="AS158" s="68"/>
      <c r="AT158" s="68"/>
      <c r="AU158" s="68"/>
      <c r="AV158" s="258"/>
      <c r="AW158" s="843"/>
      <c r="AX158" s="84" t="str">
        <f>IF(AN158&lt;1,"-",AN158-BR158)</f>
        <v>-</v>
      </c>
      <c r="AY158" s="64" t="str">
        <f>IF(AX158="-","-",($B$2-AM158+1)*AX158)</f>
        <v>-</v>
      </c>
      <c r="AZ158" s="64" t="str">
        <f>IF(AX158="-","-",AX158-G158)</f>
        <v>-</v>
      </c>
      <c r="BA158" s="515" t="str">
        <f>IF(AX158="-","-",AX158/G158)</f>
        <v>-</v>
      </c>
      <c r="BB158" s="516"/>
      <c r="BC158" s="933"/>
      <c r="BD158" s="703"/>
      <c r="BE158" s="90"/>
      <c r="BF158" s="457"/>
      <c r="BG158" s="450"/>
      <c r="BH158" s="450"/>
      <c r="BI158" s="91"/>
      <c r="BJ158" s="91"/>
      <c r="BK158" s="91"/>
      <c r="BL158" s="91"/>
      <c r="BM158" s="91"/>
      <c r="BN158" s="94"/>
      <c r="BO158" s="95"/>
      <c r="BP158" s="1485">
        <f t="shared" si="63"/>
        <v>0</v>
      </c>
      <c r="BQ158" s="131"/>
      <c r="BR158" s="132"/>
      <c r="BS158" s="99" t="str">
        <f t="shared" si="73"/>
        <v/>
      </c>
      <c r="BT158" s="284">
        <f t="shared" si="64"/>
        <v>0</v>
      </c>
      <c r="BU158" s="214">
        <f t="shared" si="65"/>
        <v>0</v>
      </c>
      <c r="BV158" s="214" t="str">
        <f>IF(AE158&gt;$CC$7,S158,IF(AE158="перех",(S158),"-"))</f>
        <v>-</v>
      </c>
      <c r="BW158" s="101"/>
      <c r="BX158" s="102"/>
      <c r="BY158" s="103" t="e">
        <f>($D$1-AJ158)*AX158</f>
        <v>#VALUE!</v>
      </c>
      <c r="BZ158" s="104"/>
      <c r="CA158" s="105"/>
      <c r="CB158" s="106"/>
      <c r="CC158" s="107"/>
      <c r="CD158" s="108"/>
      <c r="CE158" s="377"/>
      <c r="CF158" s="394" t="s">
        <v>130</v>
      </c>
      <c r="CK158" s="1313">
        <f t="shared" si="66"/>
        <v>0</v>
      </c>
      <c r="CL158" s="1302">
        <f t="shared" si="67"/>
        <v>0</v>
      </c>
      <c r="CM158" s="1321">
        <f t="shared" si="68"/>
        <v>0</v>
      </c>
      <c r="CN158" s="1321">
        <f t="shared" si="69"/>
        <v>0</v>
      </c>
      <c r="CO158" s="1321">
        <f t="shared" si="70"/>
        <v>0</v>
      </c>
      <c r="CP158" s="1312"/>
      <c r="CQ158" s="1312"/>
      <c r="CR158" s="1312"/>
      <c r="CS158" s="1313">
        <f t="shared" si="71"/>
        <v>0</v>
      </c>
      <c r="CT158" s="1302">
        <f t="shared" si="72"/>
        <v>0</v>
      </c>
      <c r="CU158" s="602"/>
    </row>
    <row r="159" spans="1:99" ht="30" hidden="1" customHeight="1" outlineLevel="1">
      <c r="A159" s="310"/>
      <c r="B159" s="247"/>
      <c r="C159" s="505"/>
      <c r="D159" s="62"/>
      <c r="E159" s="62"/>
      <c r="F159" s="247"/>
      <c r="G159" s="80"/>
      <c r="H159" s="80"/>
      <c r="I159" s="80"/>
      <c r="J159" s="65"/>
      <c r="K159" s="66"/>
      <c r="L159" s="252"/>
      <c r="M159" s="68"/>
      <c r="N159" s="68"/>
      <c r="O159" s="69"/>
      <c r="P159" s="70"/>
      <c r="Q159" s="70"/>
      <c r="R159" s="249"/>
      <c r="S159" s="250"/>
      <c r="T159" s="70"/>
      <c r="U159" s="70"/>
      <c r="V159" s="70"/>
      <c r="W159" s="70"/>
      <c r="X159" s="250"/>
      <c r="Y159" s="70"/>
      <c r="Z159" s="70"/>
      <c r="AA159" s="70"/>
      <c r="AB159" s="274"/>
      <c r="AC159" s="906"/>
      <c r="AD159" s="135"/>
      <c r="AE159" s="555"/>
      <c r="AF159" s="74"/>
      <c r="AG159" s="75"/>
      <c r="AH159" s="319"/>
      <c r="AI159" s="288"/>
      <c r="AJ159" s="77"/>
      <c r="AK159" s="74"/>
      <c r="AL159" s="75"/>
      <c r="AM159" s="78"/>
      <c r="AN159" s="74"/>
      <c r="AO159" s="63"/>
      <c r="AP159" s="74"/>
      <c r="AQ159" s="80"/>
      <c r="AR159" s="68"/>
      <c r="AS159" s="68"/>
      <c r="AT159" s="68"/>
      <c r="AU159" s="68"/>
      <c r="AV159" s="258"/>
      <c r="AW159" s="843"/>
      <c r="AX159" s="84" t="str">
        <f>IF(AN159&lt;1,"-",AN159-BR159)</f>
        <v>-</v>
      </c>
      <c r="AY159" s="64" t="str">
        <f>IF(AX159="-","-",($B$2-AM159+1)*AX159)</f>
        <v>-</v>
      </c>
      <c r="AZ159" s="64" t="str">
        <f>IF(AX159="-","-",AX159-G159)</f>
        <v>-</v>
      </c>
      <c r="BA159" s="515" t="str">
        <f>IF(AX159="-","-",AX159/G159)</f>
        <v>-</v>
      </c>
      <c r="BB159" s="516"/>
      <c r="BC159" s="934"/>
      <c r="BD159" s="703"/>
      <c r="BE159" s="90"/>
      <c r="BF159" s="457"/>
      <c r="BG159" s="450"/>
      <c r="BH159" s="450"/>
      <c r="BI159" s="91"/>
      <c r="BJ159" s="91"/>
      <c r="BK159" s="91"/>
      <c r="BL159" s="91"/>
      <c r="BM159" s="91"/>
      <c r="BN159" s="94"/>
      <c r="BO159" s="95"/>
      <c r="BP159" s="1485">
        <f t="shared" si="63"/>
        <v>0</v>
      </c>
      <c r="BQ159" s="131"/>
      <c r="BR159" s="132"/>
      <c r="BS159" s="99" t="str">
        <f t="shared" si="73"/>
        <v/>
      </c>
      <c r="BT159" s="284">
        <f t="shared" si="64"/>
        <v>0</v>
      </c>
      <c r="BU159" s="214">
        <f t="shared" si="65"/>
        <v>0</v>
      </c>
      <c r="BV159" s="214" t="str">
        <f>IF(AE159&gt;$CC$7,S159,IF(AE159="перех",(S159),"-"))</f>
        <v>-</v>
      </c>
      <c r="BW159" s="101"/>
      <c r="BX159" s="102"/>
      <c r="BY159" s="103" t="e">
        <f>($D$1-AJ159)*AX159</f>
        <v>#VALUE!</v>
      </c>
      <c r="BZ159" s="104"/>
      <c r="CA159" s="105"/>
      <c r="CB159" s="106"/>
      <c r="CC159" s="107"/>
      <c r="CD159" s="108"/>
      <c r="CE159" s="377"/>
      <c r="CF159" s="394" t="s">
        <v>130</v>
      </c>
      <c r="CK159" s="1313">
        <f t="shared" si="66"/>
        <v>0</v>
      </c>
      <c r="CL159" s="1302">
        <f t="shared" si="67"/>
        <v>0</v>
      </c>
      <c r="CM159" s="1321">
        <f t="shared" si="68"/>
        <v>0</v>
      </c>
      <c r="CN159" s="1321">
        <f t="shared" si="69"/>
        <v>0</v>
      </c>
      <c r="CO159" s="1321">
        <f t="shared" si="70"/>
        <v>0</v>
      </c>
      <c r="CP159" s="1312"/>
      <c r="CQ159" s="1312"/>
      <c r="CR159" s="1312"/>
      <c r="CS159" s="1313">
        <f t="shared" si="71"/>
        <v>0</v>
      </c>
      <c r="CT159" s="1302">
        <f t="shared" si="72"/>
        <v>0</v>
      </c>
      <c r="CU159" s="602"/>
    </row>
    <row r="160" spans="1:99" ht="30" hidden="1" customHeight="1" outlineLevel="1">
      <c r="A160" s="310"/>
      <c r="B160" s="247"/>
      <c r="C160" s="505"/>
      <c r="D160" s="62"/>
      <c r="E160" s="62"/>
      <c r="F160" s="247"/>
      <c r="G160" s="80"/>
      <c r="H160" s="80"/>
      <c r="I160" s="80"/>
      <c r="J160" s="65"/>
      <c r="K160" s="66"/>
      <c r="L160" s="252"/>
      <c r="M160" s="68"/>
      <c r="N160" s="68"/>
      <c r="O160" s="250"/>
      <c r="P160" s="70"/>
      <c r="Q160" s="70"/>
      <c r="R160" s="249"/>
      <c r="S160" s="250"/>
      <c r="T160" s="70"/>
      <c r="U160" s="70"/>
      <c r="V160" s="70"/>
      <c r="W160" s="70"/>
      <c r="X160" s="250"/>
      <c r="Y160" s="70"/>
      <c r="Z160" s="70"/>
      <c r="AA160" s="70"/>
      <c r="AB160" s="274"/>
      <c r="AC160" s="906"/>
      <c r="AD160" s="135"/>
      <c r="AE160" s="555"/>
      <c r="AF160" s="939"/>
      <c r="AG160" s="940"/>
      <c r="AH160" s="135"/>
      <c r="AI160" s="77"/>
      <c r="AJ160" s="276"/>
      <c r="AK160" s="74"/>
      <c r="AL160" s="75"/>
      <c r="AM160" s="78"/>
      <c r="AN160" s="74"/>
      <c r="AO160" s="256"/>
      <c r="AP160" s="74"/>
      <c r="AQ160" s="66"/>
      <c r="AR160" s="247"/>
      <c r="AS160" s="247"/>
      <c r="AT160" s="68"/>
      <c r="AU160" s="68"/>
      <c r="AV160" s="258"/>
      <c r="AW160" s="843"/>
      <c r="AX160" s="84" t="str">
        <f>IF(AN160&lt;1,"-",AN160-BR160)</f>
        <v>-</v>
      </c>
      <c r="AY160" s="64" t="str">
        <f>IF(AX160="-","-",($B$2-AM160+1)*AX160)</f>
        <v>-</v>
      </c>
      <c r="AZ160" s="64" t="str">
        <f>IF(AX160="-","-",AX160-G160)</f>
        <v>-</v>
      </c>
      <c r="BA160" s="515" t="str">
        <f>IF(AX160="-","-",AX160/G160)</f>
        <v>-</v>
      </c>
      <c r="BB160" s="516"/>
      <c r="BC160" s="927"/>
      <c r="BD160" s="748"/>
      <c r="BE160" s="90" t="s">
        <v>241</v>
      </c>
      <c r="BF160" s="91">
        <v>48.7</v>
      </c>
      <c r="BG160" s="91">
        <v>58</v>
      </c>
      <c r="BH160" s="91">
        <v>3</v>
      </c>
      <c r="BI160" s="91">
        <v>1932</v>
      </c>
      <c r="BJ160" s="91"/>
      <c r="BK160" s="91">
        <v>50</v>
      </c>
      <c r="BL160" s="91">
        <f>IF(BF160=0,"-",BF160-AN160)</f>
        <v>48.7</v>
      </c>
      <c r="BM160" s="91">
        <f>IF(BG160=0,"-",BG160-AO160)</f>
        <v>58</v>
      </c>
      <c r="BN160" s="94" t="e">
        <f>IF(BL160="-","-",AX160+BL160)</f>
        <v>#VALUE!</v>
      </c>
      <c r="BO160" s="95" t="e">
        <f>IF(BL160="-","-",(($B$2-AM160+1)*(AX160+BL160)))</f>
        <v>#VALUE!</v>
      </c>
      <c r="BP160" s="1485">
        <f t="shared" si="63"/>
        <v>0</v>
      </c>
      <c r="BQ160" s="131"/>
      <c r="BR160" s="131"/>
      <c r="BS160" s="99" t="str">
        <f t="shared" si="73"/>
        <v/>
      </c>
      <c r="BT160" s="284">
        <f t="shared" si="64"/>
        <v>0</v>
      </c>
      <c r="BU160" s="214">
        <f t="shared" si="65"/>
        <v>0</v>
      </c>
      <c r="BV160" s="214" t="str">
        <f>IF(AE160&gt;$CC$7,S160,IF(AE160="перех",(S160),"-"))</f>
        <v>-</v>
      </c>
      <c r="BW160" s="101"/>
      <c r="BX160" s="102"/>
      <c r="BY160" s="103" t="e">
        <f>($D$1-AJ160)*AX160</f>
        <v>#VALUE!</v>
      </c>
      <c r="BZ160" s="104"/>
      <c r="CA160" s="105"/>
      <c r="CB160" s="627"/>
      <c r="CC160" s="107"/>
      <c r="CD160" s="108"/>
      <c r="CE160" s="726"/>
      <c r="CF160" s="512" t="s">
        <v>130</v>
      </c>
      <c r="CK160" s="1313">
        <f t="shared" si="66"/>
        <v>0</v>
      </c>
      <c r="CL160" s="1302">
        <f t="shared" si="67"/>
        <v>0</v>
      </c>
      <c r="CM160" s="1321">
        <f t="shared" si="68"/>
        <v>0</v>
      </c>
      <c r="CN160" s="1321">
        <f t="shared" si="69"/>
        <v>0</v>
      </c>
      <c r="CO160" s="1321">
        <f t="shared" si="70"/>
        <v>0</v>
      </c>
      <c r="CP160" s="1312"/>
      <c r="CQ160" s="1312"/>
      <c r="CR160" s="1312"/>
      <c r="CS160" s="1313">
        <f t="shared" si="71"/>
        <v>0</v>
      </c>
      <c r="CT160" s="1302">
        <f t="shared" si="72"/>
        <v>0</v>
      </c>
      <c r="CU160" s="602"/>
    </row>
    <row r="161" spans="1:99" ht="30" hidden="1" customHeight="1" outlineLevel="1">
      <c r="A161" s="310"/>
      <c r="B161" s="505"/>
      <c r="C161" s="505"/>
      <c r="D161" s="248"/>
      <c r="E161" s="62"/>
      <c r="F161" s="247"/>
      <c r="G161" s="80"/>
      <c r="H161" s="80"/>
      <c r="I161" s="80"/>
      <c r="J161" s="65"/>
      <c r="K161" s="66"/>
      <c r="L161" s="252"/>
      <c r="M161" s="63"/>
      <c r="N161" s="71"/>
      <c r="O161" s="69"/>
      <c r="P161" s="71"/>
      <c r="Q161" s="71"/>
      <c r="R161" s="273"/>
      <c r="S161" s="63"/>
      <c r="T161" s="71"/>
      <c r="U161" s="287"/>
      <c r="V161" s="71"/>
      <c r="W161" s="71"/>
      <c r="X161" s="63"/>
      <c r="Y161" s="71"/>
      <c r="Z161" s="287"/>
      <c r="AA161" s="71"/>
      <c r="AB161" s="274"/>
      <c r="AC161" s="906"/>
      <c r="AD161" s="135"/>
      <c r="AE161" s="555"/>
      <c r="AF161" s="939"/>
      <c r="AG161" s="940"/>
      <c r="AH161" s="135"/>
      <c r="AI161" s="77"/>
      <c r="AJ161" s="276"/>
      <c r="AK161" s="74"/>
      <c r="AL161" s="75"/>
      <c r="AM161" s="78"/>
      <c r="AN161" s="74"/>
      <c r="AO161" s="256"/>
      <c r="AP161" s="74"/>
      <c r="AQ161" s="66"/>
      <c r="AR161" s="247"/>
      <c r="AS161" s="247"/>
      <c r="AT161" s="68"/>
      <c r="AU161" s="68"/>
      <c r="AV161" s="258"/>
      <c r="AW161" s="843"/>
      <c r="AX161" s="84" t="str">
        <f>IF(AN161&lt;1,"-",AN161-BR161)</f>
        <v>-</v>
      </c>
      <c r="AY161" s="64" t="str">
        <f>IF(AX161="-","-",($B$2-AM161+1)*AX161)</f>
        <v>-</v>
      </c>
      <c r="AZ161" s="64" t="str">
        <f>IF(AX161="-","-",AX161-G161)</f>
        <v>-</v>
      </c>
      <c r="BA161" s="515" t="str">
        <f>IF(AX161="-","-",AX161/G161)</f>
        <v>-</v>
      </c>
      <c r="BB161" s="516"/>
      <c r="BC161" s="927"/>
      <c r="BD161" s="748"/>
      <c r="BE161" s="90" t="s">
        <v>242</v>
      </c>
      <c r="BF161" s="91">
        <v>36</v>
      </c>
      <c r="BG161" s="91">
        <v>54</v>
      </c>
      <c r="BH161" s="91">
        <v>23</v>
      </c>
      <c r="BI161" s="91">
        <v>1820</v>
      </c>
      <c r="BJ161" s="91"/>
      <c r="BK161" s="91">
        <v>50</v>
      </c>
      <c r="BL161" s="91">
        <f>IF(BF161=0,"-",BF161-AN161)</f>
        <v>36</v>
      </c>
      <c r="BM161" s="91">
        <f>IF(BG161=0,"-",BG161-AO161)</f>
        <v>54</v>
      </c>
      <c r="BN161" s="94" t="e">
        <f>IF(BL161="-","-",AX161+BL161)</f>
        <v>#VALUE!</v>
      </c>
      <c r="BO161" s="95" t="e">
        <f>IF(BL161="-","-",(($B$2-AM161+1)*(AX161+BL161)))</f>
        <v>#VALUE!</v>
      </c>
      <c r="BP161" s="130">
        <f t="shared" si="63"/>
        <v>0</v>
      </c>
      <c r="BQ161" s="131"/>
      <c r="BR161" s="131"/>
      <c r="BS161" s="99" t="str">
        <f t="shared" si="73"/>
        <v/>
      </c>
      <c r="BT161" s="385">
        <f t="shared" si="64"/>
        <v>0</v>
      </c>
      <c r="BU161" s="214">
        <f t="shared" si="65"/>
        <v>0</v>
      </c>
      <c r="BV161" s="214"/>
      <c r="BW161" s="101"/>
      <c r="BX161" s="102"/>
      <c r="BY161" s="103">
        <v>14</v>
      </c>
      <c r="BZ161" s="104"/>
      <c r="CA161" s="105"/>
      <c r="CB161" s="627"/>
      <c r="CC161" s="107"/>
      <c r="CD161" s="108"/>
      <c r="CE161" s="726"/>
      <c r="CF161" s="512" t="s">
        <v>130</v>
      </c>
      <c r="CK161" s="1313">
        <f t="shared" si="66"/>
        <v>0</v>
      </c>
      <c r="CL161" s="1302">
        <f t="shared" si="67"/>
        <v>0</v>
      </c>
      <c r="CM161" s="1321">
        <f t="shared" si="68"/>
        <v>0</v>
      </c>
      <c r="CN161" s="1321">
        <f t="shared" si="69"/>
        <v>0</v>
      </c>
      <c r="CO161" s="1321">
        <f t="shared" si="70"/>
        <v>0</v>
      </c>
      <c r="CP161" s="1312"/>
      <c r="CQ161" s="1312"/>
      <c r="CR161" s="1312"/>
      <c r="CS161" s="1313">
        <f t="shared" si="71"/>
        <v>0</v>
      </c>
      <c r="CT161" s="1302">
        <f t="shared" si="72"/>
        <v>0</v>
      </c>
      <c r="CU161" s="602"/>
    </row>
    <row r="162" spans="1:99" ht="30" hidden="1" customHeight="1" outlineLevel="1">
      <c r="A162" s="484"/>
      <c r="B162" s="270"/>
      <c r="C162" s="270"/>
      <c r="D162" s="62"/>
      <c r="E162" s="914"/>
      <c r="F162" s="915"/>
      <c r="G162" s="80"/>
      <c r="H162" s="80"/>
      <c r="I162" s="80"/>
      <c r="J162" s="80"/>
      <c r="K162" s="66"/>
      <c r="L162" s="285"/>
      <c r="M162" s="63"/>
      <c r="N162" s="71"/>
      <c r="O162" s="71"/>
      <c r="P162" s="71"/>
      <c r="Q162" s="71"/>
      <c r="R162" s="273"/>
      <c r="S162" s="63"/>
      <c r="T162" s="71"/>
      <c r="U162" s="287"/>
      <c r="V162" s="71"/>
      <c r="W162" s="71"/>
      <c r="X162" s="63"/>
      <c r="Y162" s="71"/>
      <c r="Z162" s="287"/>
      <c r="AA162" s="71"/>
      <c r="AB162" s="274"/>
      <c r="AC162" s="906"/>
      <c r="AD162" s="135"/>
      <c r="AE162" s="555"/>
      <c r="AF162" s="939"/>
      <c r="AG162" s="940"/>
      <c r="AH162" s="135"/>
      <c r="AI162" s="77"/>
      <c r="AJ162" s="276"/>
      <c r="AK162" s="74"/>
      <c r="AL162" s="75"/>
      <c r="AM162" s="78"/>
      <c r="AN162" s="289"/>
      <c r="AO162" s="256"/>
      <c r="AP162" s="74"/>
      <c r="AQ162" s="66"/>
      <c r="AR162" s="247"/>
      <c r="AS162" s="247"/>
      <c r="AT162" s="68"/>
      <c r="AU162" s="68"/>
      <c r="AV162" s="258"/>
      <c r="AW162" s="448"/>
      <c r="AX162" s="84"/>
      <c r="AY162" s="64"/>
      <c r="AZ162" s="64"/>
      <c r="BA162" s="515"/>
      <c r="BB162" s="516"/>
      <c r="BC162" s="927"/>
      <c r="BD162" s="748"/>
      <c r="BE162" s="90" t="s">
        <v>233</v>
      </c>
      <c r="BF162" s="91"/>
      <c r="BG162" s="91"/>
      <c r="BH162" s="91"/>
      <c r="BI162" s="91"/>
      <c r="BJ162" s="91"/>
      <c r="BK162" s="91"/>
      <c r="BL162" s="91"/>
      <c r="BM162" s="91"/>
      <c r="BN162" s="94"/>
      <c r="BO162" s="95"/>
      <c r="BP162" s="130">
        <f t="shared" si="63"/>
        <v>0</v>
      </c>
      <c r="BQ162" s="131"/>
      <c r="BR162" s="131"/>
      <c r="BS162" s="99" t="str">
        <f t="shared" si="73"/>
        <v/>
      </c>
      <c r="BT162" s="385">
        <f t="shared" si="64"/>
        <v>0</v>
      </c>
      <c r="BU162" s="214">
        <f t="shared" si="65"/>
        <v>0</v>
      </c>
      <c r="BV162" s="214"/>
      <c r="BW162" s="101"/>
      <c r="BX162" s="102"/>
      <c r="BY162" s="103"/>
      <c r="BZ162" s="104"/>
      <c r="CA162" s="105"/>
      <c r="CB162" s="627"/>
      <c r="CC162" s="107"/>
      <c r="CD162" s="108"/>
      <c r="CE162" s="726"/>
      <c r="CF162" s="512" t="s">
        <v>130</v>
      </c>
      <c r="CK162" s="1313">
        <f t="shared" si="66"/>
        <v>0</v>
      </c>
      <c r="CL162" s="1302">
        <f t="shared" si="67"/>
        <v>0</v>
      </c>
      <c r="CM162" s="1321">
        <f t="shared" si="68"/>
        <v>0</v>
      </c>
      <c r="CN162" s="1321">
        <f t="shared" si="69"/>
        <v>0</v>
      </c>
      <c r="CO162" s="1321">
        <f t="shared" si="70"/>
        <v>0</v>
      </c>
      <c r="CP162" s="1312"/>
      <c r="CQ162" s="1312"/>
      <c r="CR162" s="1312"/>
      <c r="CS162" s="1313">
        <f t="shared" si="71"/>
        <v>0</v>
      </c>
      <c r="CT162" s="1302">
        <f t="shared" si="72"/>
        <v>0</v>
      </c>
      <c r="CU162" s="602"/>
    </row>
    <row r="163" spans="1:99" ht="30" hidden="1" customHeight="1" outlineLevel="1" collapsed="1">
      <c r="A163" s="325" t="s">
        <v>91</v>
      </c>
      <c r="B163" s="149">
        <f>COUNTIF(A156:A161,$B$1)</f>
        <v>0</v>
      </c>
      <c r="C163" s="327"/>
      <c r="D163" s="328"/>
      <c r="E163" s="328"/>
      <c r="F163" s="328"/>
      <c r="G163" s="152">
        <f>SUMIF(A156:A162,$B$1,G156:G162)</f>
        <v>0</v>
      </c>
      <c r="H163" s="152">
        <f>SUMIF(A156:A162,$B$1,H156:H162)</f>
        <v>0</v>
      </c>
      <c r="I163" s="152">
        <f>SUM(I156:I162)</f>
        <v>0</v>
      </c>
      <c r="J163" s="152"/>
      <c r="K163" s="329"/>
      <c r="L163" s="153">
        <f>SUMIF(A156:A162,$B$1,L156:L162)</f>
        <v>0</v>
      </c>
      <c r="M163" s="153">
        <f>SUMIF(A156:A162,$B$1,M156:M162)</f>
        <v>0</v>
      </c>
      <c r="N163" s="329"/>
      <c r="O163" s="329"/>
      <c r="P163" s="329"/>
      <c r="Q163" s="329"/>
      <c r="R163" s="329"/>
      <c r="S163" s="329"/>
      <c r="T163" s="329"/>
      <c r="U163" s="328"/>
      <c r="V163" s="328"/>
      <c r="W163" s="328"/>
      <c r="X163" s="329"/>
      <c r="Y163" s="329"/>
      <c r="Z163" s="328"/>
      <c r="AA163" s="328"/>
      <c r="AB163" s="328"/>
      <c r="AC163" s="331"/>
      <c r="AD163" s="332"/>
      <c r="AE163" s="333"/>
      <c r="AF163" s="329"/>
      <c r="AG163" s="334"/>
      <c r="AH163" s="335"/>
      <c r="AI163" s="333"/>
      <c r="AJ163" s="333"/>
      <c r="AK163" s="329"/>
      <c r="AL163" s="334"/>
      <c r="AM163" s="336">
        <f>COUNTA(AM156:AM162)</f>
        <v>0</v>
      </c>
      <c r="AN163" s="546">
        <f>SUM(AN156:AN162)</f>
        <v>0</v>
      </c>
      <c r="AO163" s="152">
        <f>SUM(AO156:AO162)</f>
        <v>0</v>
      </c>
      <c r="AP163" s="337"/>
      <c r="AQ163" s="328"/>
      <c r="AR163" s="328"/>
      <c r="AS163" s="328"/>
      <c r="AT163" s="328"/>
      <c r="AU163" s="328"/>
      <c r="AV163" s="328"/>
      <c r="AW163" s="328"/>
      <c r="AX163" s="338">
        <f>SUM(AX156:AX162)</f>
        <v>0</v>
      </c>
      <c r="AY163" s="338">
        <f>SUM(AY156:AY162)</f>
        <v>0</v>
      </c>
      <c r="AZ163" s="338">
        <f>SUM(AZ156:AZ162)</f>
        <v>0</v>
      </c>
      <c r="BA163" s="221" t="str">
        <f>IF(COUNT(BA156:BA162)=0,"-",AVERAGE(BA156:BA162))</f>
        <v>-</v>
      </c>
      <c r="BB163" s="1394"/>
      <c r="BC163" s="165"/>
      <c r="BD163" s="341"/>
      <c r="BE163" s="341"/>
      <c r="BF163" s="895"/>
      <c r="BG163" s="895"/>
      <c r="BH163" s="895"/>
      <c r="BI163" s="895"/>
      <c r="BJ163" s="895"/>
      <c r="BK163" s="895"/>
      <c r="BL163" s="895"/>
      <c r="BM163" s="895"/>
      <c r="BN163" s="163">
        <f>SUM(BN151:BN155)</f>
        <v>0</v>
      </c>
      <c r="BO163" s="163">
        <f>SUM(BO151:BO155)</f>
        <v>0</v>
      </c>
      <c r="BP163" s="708">
        <f>COUNTA(BP156:BP162)</f>
        <v>7</v>
      </c>
      <c r="BQ163" s="709">
        <f>SUM(BQ156:BQ162)</f>
        <v>0</v>
      </c>
      <c r="BR163" s="711">
        <f>SUM(BR156:BR162)</f>
        <v>0</v>
      </c>
      <c r="BS163" s="712"/>
      <c r="BT163" s="708">
        <f>COUNTA(BT156:BT162)</f>
        <v>7</v>
      </c>
      <c r="BU163" s="802">
        <f>SUM(BU156:BU162)</f>
        <v>0</v>
      </c>
      <c r="BV163" s="803" t="e">
        <f>SUM(BV156:CF162)</f>
        <v>#VALUE!</v>
      </c>
      <c r="BW163" s="946"/>
      <c r="BX163" s="172"/>
      <c r="BY163" s="947">
        <f>AM163</f>
        <v>0</v>
      </c>
      <c r="BZ163" s="947">
        <f>COUNTIF(BZ156:BZ162,"=0")</f>
        <v>0</v>
      </c>
      <c r="CA163" s="948">
        <f>SUM(COUNTIF(BZ145:BZ150,"&lt;0"),COUNTIF(BZ145:BZ150,"&gt;0"))</f>
        <v>0</v>
      </c>
      <c r="CB163" s="949">
        <f>COUNTIF(CB151:CB152,"1")</f>
        <v>0</v>
      </c>
      <c r="CC163" s="950">
        <f>SUM(CC151:CC152)</f>
        <v>0</v>
      </c>
      <c r="CD163" s="951">
        <f>COUNTIF(CD151:CD155,"1")</f>
        <v>0</v>
      </c>
      <c r="CE163" s="952">
        <f>SUM(CE151:CE155)</f>
        <v>0</v>
      </c>
      <c r="CF163" s="1600"/>
      <c r="CK163" s="1354">
        <f>SUMIF($BP156:$BP162,$B$1,CK156:CK162)</f>
        <v>0</v>
      </c>
      <c r="CL163" s="1355">
        <f>SUMIF($BP156:$BP162,$B$1,CL156:CL162)</f>
        <v>0</v>
      </c>
      <c r="CM163" s="1355">
        <f>SUMIF($A156:$A162,$B$1,CM156:CM162)</f>
        <v>0</v>
      </c>
      <c r="CN163" s="1355">
        <f>SUMIF($A156:$A162,$B$1,CN156:CN162)</f>
        <v>0</v>
      </c>
      <c r="CO163" s="1356">
        <f>SUMIF($A156:$A162,$B$1,CO156:CO162)</f>
        <v>0</v>
      </c>
      <c r="CP163" s="1312"/>
      <c r="CQ163" s="1312"/>
      <c r="CR163" s="1312"/>
      <c r="CS163" s="1354">
        <f>SUMIF($A156:$A162,$B$1,CS156:CS162)</f>
        <v>0</v>
      </c>
      <c r="CT163" s="1354">
        <f>SUMIF($A156:$A162,$B$1,CT156:CT162)</f>
        <v>0</v>
      </c>
      <c r="CU163" s="602"/>
    </row>
    <row r="164" spans="1:99" ht="30" hidden="1" customHeight="1" outlineLevel="1">
      <c r="A164" s="179" t="s">
        <v>89</v>
      </c>
      <c r="B164" s="348">
        <f>COUNT(A156:A161)</f>
        <v>0</v>
      </c>
      <c r="C164" s="181"/>
      <c r="D164" s="182"/>
      <c r="E164" s="182"/>
      <c r="F164" s="182"/>
      <c r="G164" s="184">
        <f>SUM(G156:G162)</f>
        <v>0</v>
      </c>
      <c r="H164" s="184">
        <f>SUMIF(A156:A161,"&gt;0",H156:H161)</f>
        <v>0</v>
      </c>
      <c r="I164" s="184"/>
      <c r="J164" s="184">
        <f>SUM(J156:J162)</f>
        <v>0</v>
      </c>
      <c r="K164" s="184"/>
      <c r="L164" s="184"/>
      <c r="M164" s="184"/>
      <c r="N164" s="184"/>
      <c r="O164" s="184"/>
      <c r="P164" s="184"/>
      <c r="Q164" s="184"/>
      <c r="R164" s="185"/>
      <c r="S164" s="185">
        <f>SUMIF(AE156:AE162,"переход",S156:S162)</f>
        <v>0</v>
      </c>
      <c r="T164" s="185"/>
      <c r="U164" s="182"/>
      <c r="V164" s="182"/>
      <c r="W164" s="182"/>
      <c r="X164" s="183"/>
      <c r="Y164" s="185"/>
      <c r="Z164" s="182"/>
      <c r="AA164" s="182"/>
      <c r="AB164" s="182"/>
      <c r="AC164" s="186"/>
      <c r="AD164" s="186"/>
      <c r="AE164" s="186"/>
      <c r="AF164" s="184">
        <f>COUNT(AG156:AG162)</f>
        <v>0</v>
      </c>
      <c r="AG164" s="191">
        <f>SUM(AG156:AG162)</f>
        <v>0</v>
      </c>
      <c r="AH164" s="186"/>
      <c r="AI164" s="186"/>
      <c r="AJ164" s="186"/>
      <c r="AK164" s="184"/>
      <c r="AL164" s="184"/>
      <c r="AM164" s="182">
        <f>SUM(AM163,AM153)</f>
        <v>0</v>
      </c>
      <c r="AN164" s="184">
        <f>SUM(AN163,AN153)</f>
        <v>0</v>
      </c>
      <c r="AO164" s="182"/>
      <c r="AP164" s="187"/>
      <c r="AQ164" s="182"/>
      <c r="AR164" s="182"/>
      <c r="AS164" s="182"/>
      <c r="AT164" s="182"/>
      <c r="AU164" s="182"/>
      <c r="AV164" s="182"/>
      <c r="AW164" s="182"/>
      <c r="AX164" s="188">
        <f>SUM(AX163,AX153)</f>
        <v>0</v>
      </c>
      <c r="AY164" s="188">
        <f>SUM(AY163,AY153)</f>
        <v>0</v>
      </c>
      <c r="AZ164" s="188">
        <f>SUM(AZ163,AZ153)</f>
        <v>0</v>
      </c>
      <c r="BA164" s="229" t="str">
        <f>IF(COUNT(BA145:BA152,BA156:BA162)=0,"-",AVERAGE(BA145:BA152,BA156:BA162))</f>
        <v>-</v>
      </c>
      <c r="BB164" s="188">
        <f>+BB154</f>
        <v>0</v>
      </c>
      <c r="BC164" s="476"/>
      <c r="BD164" s="476"/>
      <c r="BE164" s="476"/>
      <c r="BF164" s="476"/>
      <c r="BG164" s="476"/>
      <c r="BH164" s="476"/>
      <c r="BI164" s="476"/>
      <c r="BJ164" s="476"/>
      <c r="BK164" s="476"/>
      <c r="BL164" s="476"/>
      <c r="BM164" s="476"/>
      <c r="BN164" s="476"/>
      <c r="BO164" s="476"/>
      <c r="BP164" s="353"/>
      <c r="BQ164" s="355"/>
      <c r="BR164" s="355"/>
      <c r="BS164" s="356">
        <f>SUMIF(BS156:BS162,"",BR156:BR162)</f>
        <v>0</v>
      </c>
      <c r="BT164" s="1601"/>
      <c r="BU164" s="1602"/>
      <c r="BV164" s="1603"/>
      <c r="BW164" s="959"/>
      <c r="BX164" s="960"/>
      <c r="BY164" s="961" t="e">
        <f>SUM(BY156:BY162)</f>
        <v>#VALUE!</v>
      </c>
      <c r="BZ164" s="961">
        <f>SUMIF(BZ156:BZ162,"=0",CA156:CA162)</f>
        <v>0</v>
      </c>
      <c r="CA164" s="962">
        <f>SUMIF(BZ156:BZ162,"&lt;&gt;0",CA156:CA162)</f>
        <v>0</v>
      </c>
      <c r="CB164" s="961"/>
      <c r="CC164" s="961"/>
      <c r="CD164" s="961"/>
      <c r="CE164" s="961"/>
      <c r="CF164" s="361"/>
      <c r="CK164" s="1357"/>
      <c r="CL164" s="1358">
        <f>CL163-$S163</f>
        <v>0</v>
      </c>
      <c r="CM164" s="1357"/>
      <c r="CN164" s="1359"/>
      <c r="CO164" s="1357"/>
      <c r="CP164" s="1312"/>
      <c r="CQ164" s="1312"/>
      <c r="CR164" s="1312"/>
      <c r="CS164" s="1357"/>
      <c r="CT164" s="1358">
        <f>CT163-$M163</f>
        <v>0</v>
      </c>
      <c r="CU164" s="602"/>
    </row>
    <row r="165" spans="1:99" ht="30" hidden="1" customHeight="1" outlineLevel="1" collapsed="1">
      <c r="A165" s="2190" t="s">
        <v>134</v>
      </c>
      <c r="B165" s="2190"/>
      <c r="C165" s="2190"/>
      <c r="D165" s="2190"/>
      <c r="E165" s="2190"/>
      <c r="F165" s="2190"/>
      <c r="G165" s="2190"/>
      <c r="H165" s="2190"/>
      <c r="I165" s="2190"/>
      <c r="J165" s="2190"/>
      <c r="K165" s="2190"/>
      <c r="L165" s="2190"/>
      <c r="M165" s="2190"/>
      <c r="N165" s="2190"/>
      <c r="O165" s="2190"/>
      <c r="P165" s="2190"/>
      <c r="Q165" s="2190"/>
      <c r="R165" s="2190"/>
      <c r="S165" s="2190"/>
      <c r="T165" s="2190"/>
      <c r="U165" s="2190"/>
      <c r="V165" s="2190"/>
      <c r="W165" s="2190"/>
      <c r="X165" s="2190"/>
      <c r="Y165" s="2190"/>
      <c r="Z165" s="2190"/>
      <c r="AA165" s="2190"/>
      <c r="AB165" s="2190"/>
      <c r="AC165" s="2190"/>
      <c r="AD165" s="2190"/>
      <c r="AE165" s="2190"/>
      <c r="AF165" s="2190"/>
      <c r="AG165" s="2190"/>
      <c r="AH165" s="2190"/>
      <c r="AI165" s="2190"/>
      <c r="AJ165" s="2190"/>
      <c r="AK165" s="2190"/>
      <c r="AL165" s="2190"/>
      <c r="AM165" s="2190"/>
      <c r="AN165" s="2190"/>
      <c r="AO165" s="2190"/>
      <c r="AP165" s="2190"/>
      <c r="AQ165" s="2190"/>
      <c r="AR165" s="2190"/>
      <c r="AS165" s="2190"/>
      <c r="AT165" s="2190"/>
      <c r="AU165" s="2190"/>
      <c r="AV165" s="2190"/>
      <c r="AW165" s="2190"/>
      <c r="AX165" s="2190"/>
      <c r="AY165" s="2190"/>
      <c r="AZ165" s="2190"/>
      <c r="BA165" s="2190"/>
      <c r="BB165" s="2190"/>
      <c r="BC165" s="2190"/>
      <c r="BD165" s="242"/>
      <c r="BE165" s="242"/>
      <c r="BF165" s="1604"/>
      <c r="BG165" s="1604"/>
      <c r="BH165" s="1604"/>
      <c r="BI165" s="1604"/>
      <c r="BJ165" s="1604"/>
      <c r="BK165" s="1604"/>
      <c r="BL165" s="1604"/>
      <c r="BM165" s="1604"/>
      <c r="BN165" s="243"/>
      <c r="BO165" s="365"/>
      <c r="BP165" s="1385"/>
      <c r="BQ165" s="97"/>
      <c r="BR165" s="97"/>
      <c r="BS165" s="100"/>
      <c r="BT165" s="96"/>
      <c r="BU165" s="97"/>
      <c r="BV165" s="100"/>
      <c r="BW165" s="482"/>
      <c r="BX165" s="478"/>
      <c r="BY165" s="478"/>
      <c r="BZ165" s="478"/>
      <c r="CA165" s="47"/>
      <c r="CB165" s="926"/>
      <c r="CC165" s="478"/>
      <c r="CD165" s="478"/>
      <c r="CE165" s="47"/>
      <c r="CF165" s="246"/>
      <c r="CK165" s="1361"/>
      <c r="CL165" s="1315"/>
      <c r="CM165" s="1315"/>
      <c r="CN165" s="1315"/>
      <c r="CO165" s="1315"/>
      <c r="CP165" s="1315"/>
      <c r="CQ165" s="1315"/>
      <c r="CR165" s="1315"/>
      <c r="CS165" s="1361"/>
      <c r="CT165" s="1315"/>
      <c r="CU165" s="602"/>
    </row>
    <row r="166" spans="1:99" ht="33.75" hidden="1" customHeight="1" outlineLevel="1">
      <c r="A166" s="310">
        <f>DAY(AE166)</f>
        <v>0</v>
      </c>
      <c r="B166" s="247"/>
      <c r="C166" s="247">
        <v>0</v>
      </c>
      <c r="D166" s="62" t="s">
        <v>254</v>
      </c>
      <c r="E166" s="62" t="s">
        <v>250</v>
      </c>
      <c r="F166" s="247"/>
      <c r="G166" s="80"/>
      <c r="H166" s="80"/>
      <c r="I166" s="80"/>
      <c r="J166" s="65"/>
      <c r="K166" s="629"/>
      <c r="L166" s="252">
        <v>0</v>
      </c>
      <c r="M166" s="68"/>
      <c r="N166" s="68"/>
      <c r="O166" s="372"/>
      <c r="P166" s="70"/>
      <c r="Q166" s="70"/>
      <c r="R166" s="629"/>
      <c r="S166" s="64"/>
      <c r="T166" s="70"/>
      <c r="U166" s="372"/>
      <c r="V166" s="70"/>
      <c r="W166" s="70">
        <v>2898.9</v>
      </c>
      <c r="X166" s="64"/>
      <c r="Y166" s="70"/>
      <c r="Z166" s="70"/>
      <c r="AA166" s="70"/>
      <c r="AB166" s="274" t="s">
        <v>93</v>
      </c>
      <c r="AC166" s="319"/>
      <c r="AD166" s="288"/>
      <c r="AE166" s="1723">
        <f>AD166</f>
        <v>0</v>
      </c>
      <c r="AF166" s="78">
        <f>SUM(IF(AC166="переход","",IF(AE166="переход",$D$1-AC166,AE166-AC166)))</f>
        <v>0</v>
      </c>
      <c r="AG166" s="75" t="str">
        <f>IF(S166="","",AF166*S166)</f>
        <v/>
      </c>
      <c r="AH166" s="319"/>
      <c r="AI166" s="288"/>
      <c r="AJ166" s="77"/>
      <c r="AK166" s="74"/>
      <c r="AL166" s="75"/>
      <c r="AM166" s="78"/>
      <c r="AN166" s="74"/>
      <c r="AO166" s="63"/>
      <c r="AP166" s="74"/>
      <c r="AQ166" s="112"/>
      <c r="AR166" s="68"/>
      <c r="AS166" s="68"/>
      <c r="AT166" s="68"/>
      <c r="AU166" s="68"/>
      <c r="AV166" s="258"/>
      <c r="AW166" s="843"/>
      <c r="AX166" s="84" t="str">
        <f>IF(AN166&lt;1,"-",AN166)</f>
        <v>-</v>
      </c>
      <c r="AY166" s="64" t="str">
        <f>IF(AX166="-","-",($B$2-AM166+1)*AX166)</f>
        <v>-</v>
      </c>
      <c r="AZ166" s="63" t="str">
        <f>IF(AX166="-","-",AX166-H166)</f>
        <v>-</v>
      </c>
      <c r="BA166" s="312" t="str">
        <f>IF(AX166="-","-",AX166/H166)</f>
        <v>-</v>
      </c>
      <c r="BB166" s="1317"/>
      <c r="BC166" s="1484"/>
      <c r="BD166" s="703"/>
      <c r="BE166" s="841"/>
      <c r="BF166" s="93"/>
      <c r="BG166" s="91"/>
      <c r="BH166" s="93"/>
      <c r="BI166" s="748"/>
      <c r="BJ166" s="748"/>
      <c r="BK166" s="748"/>
      <c r="BL166" s="91"/>
      <c r="BM166" s="91"/>
      <c r="BN166" s="94"/>
      <c r="BO166" s="1319"/>
      <c r="BP166" s="1485">
        <f>AC166</f>
        <v>0</v>
      </c>
      <c r="BQ166" s="131"/>
      <c r="BR166" s="132"/>
      <c r="BS166" s="99"/>
      <c r="BT166" s="284">
        <f>S166</f>
        <v>0</v>
      </c>
      <c r="BU166" s="214" t="str">
        <f>AG166</f>
        <v/>
      </c>
      <c r="BV166" s="214" t="str">
        <f>IF(AE166&gt;$CC$7,S166,IF(AE166="перех",(S166),"-"))</f>
        <v>-</v>
      </c>
      <c r="BW166" s="101"/>
      <c r="BX166" s="102"/>
      <c r="BY166" s="103" t="e">
        <f>($D$1-AJ166)*AX166</f>
        <v>#VALUE!</v>
      </c>
      <c r="BZ166" s="104">
        <f>IF(AM166&gt;0,"-",(AE166-BX166))</f>
        <v>0</v>
      </c>
      <c r="CA166" s="105">
        <f>IF(AM166&gt;0,"-",(($D$1-BX166)*H166))</f>
        <v>0</v>
      </c>
      <c r="CB166" s="718"/>
      <c r="CC166" s="719"/>
      <c r="CD166" s="719"/>
      <c r="CE166" s="720"/>
      <c r="CF166" s="721" t="s">
        <v>125</v>
      </c>
      <c r="CH166" s="1322">
        <v>2.4573066024769216E-2</v>
      </c>
      <c r="CI166" s="1322">
        <v>1.6098431593487583E-3</v>
      </c>
      <c r="CJ166" s="1322">
        <v>2.6182909184117975E-2</v>
      </c>
      <c r="CK166" s="1313">
        <f>IF($BP166&lt;=$B$1,T166-T166*CH166,T166)</f>
        <v>0</v>
      </c>
      <c r="CL166" s="1321">
        <f>IF($BP166&lt;=$B$1,S166-S166*CJ166,S166)</f>
        <v>0</v>
      </c>
      <c r="CM166" s="1321">
        <f>IF(CK166=0,M166-S166,($N166-$CK166)*$M166/$N166)</f>
        <v>0</v>
      </c>
      <c r="CN166" s="1321">
        <f>IF(CK166=0,0,-($CL166-$CK166*$M166/$N166))</f>
        <v>0</v>
      </c>
      <c r="CO166" s="1321">
        <f>CM166+CN166</f>
        <v>0</v>
      </c>
      <c r="CP166" s="1322">
        <v>1.2788029781702123E-2</v>
      </c>
      <c r="CQ166" s="1322">
        <v>7.6035270394966201E-3</v>
      </c>
      <c r="CR166" s="1322">
        <v>2.0391556821198743E-2</v>
      </c>
      <c r="CS166" s="1313">
        <f>IF($A166&lt;=$B$1,N166-N166*CP166,N166)</f>
        <v>0</v>
      </c>
      <c r="CT166" s="1321">
        <f>IF($A166&lt;=$B$1,M166-M166*CR166,M166)</f>
        <v>0</v>
      </c>
      <c r="CU166" s="602"/>
    </row>
    <row r="167" spans="1:99" ht="33.75" hidden="1" customHeight="1" outlineLevel="1">
      <c r="A167" s="310">
        <f>DAY(AE167)</f>
        <v>0</v>
      </c>
      <c r="B167" s="247"/>
      <c r="C167" s="247">
        <v>3</v>
      </c>
      <c r="D167" s="62" t="s">
        <v>254</v>
      </c>
      <c r="E167" s="62" t="s">
        <v>250</v>
      </c>
      <c r="F167" s="247"/>
      <c r="G167" s="80"/>
      <c r="H167" s="80"/>
      <c r="I167" s="80"/>
      <c r="J167" s="65"/>
      <c r="K167" s="629"/>
      <c r="L167" s="252">
        <v>0</v>
      </c>
      <c r="M167" s="68"/>
      <c r="N167" s="68"/>
      <c r="O167" s="372"/>
      <c r="P167" s="70"/>
      <c r="Q167" s="70"/>
      <c r="R167" s="629"/>
      <c r="S167" s="64"/>
      <c r="T167" s="70"/>
      <c r="U167" s="372"/>
      <c r="V167" s="70"/>
      <c r="W167" s="70">
        <v>3007.3</v>
      </c>
      <c r="X167" s="64"/>
      <c r="Y167" s="70"/>
      <c r="Z167" s="70"/>
      <c r="AA167" s="70"/>
      <c r="AB167" s="274" t="s">
        <v>93</v>
      </c>
      <c r="AC167" s="319"/>
      <c r="AD167" s="288"/>
      <c r="AE167" s="1723">
        <f>AD167</f>
        <v>0</v>
      </c>
      <c r="AF167" s="78">
        <f>SUM(IF(AC167="переход","",IF(AE167="переход",$D$1-AC167,AE167-AC167)))</f>
        <v>0</v>
      </c>
      <c r="AG167" s="75" t="str">
        <f>IF(S167="","",AF167*S167)</f>
        <v/>
      </c>
      <c r="AH167" s="319"/>
      <c r="AI167" s="288"/>
      <c r="AJ167" s="77"/>
      <c r="AK167" s="74"/>
      <c r="AL167" s="75"/>
      <c r="AM167" s="78"/>
      <c r="AN167" s="74"/>
      <c r="AO167" s="63"/>
      <c r="AP167" s="74"/>
      <c r="AQ167" s="112"/>
      <c r="AR167" s="68"/>
      <c r="AS167" s="68"/>
      <c r="AT167" s="68"/>
      <c r="AU167" s="68"/>
      <c r="AV167" s="258"/>
      <c r="AW167" s="843"/>
      <c r="AX167" s="84" t="str">
        <f>IF(AN167&lt;1,"-",AN167)</f>
        <v>-</v>
      </c>
      <c r="AY167" s="64" t="str">
        <f>IF(AX167="-","-",($B$2-AM167+1)*AX167)</f>
        <v>-</v>
      </c>
      <c r="AZ167" s="63" t="str">
        <f>IF(AX167="-","-",AX167-H167)</f>
        <v>-</v>
      </c>
      <c r="BA167" s="312" t="str">
        <f>IF(AX167="-","-",AX167/H167)</f>
        <v>-</v>
      </c>
      <c r="BB167" s="1317"/>
      <c r="BC167" s="1484"/>
      <c r="BD167" s="703"/>
      <c r="BE167" s="841"/>
      <c r="BF167" s="93"/>
      <c r="BG167" s="91"/>
      <c r="BH167" s="93"/>
      <c r="BI167" s="748"/>
      <c r="BJ167" s="748"/>
      <c r="BK167" s="748"/>
      <c r="BL167" s="91"/>
      <c r="BM167" s="91"/>
      <c r="BN167" s="94"/>
      <c r="BO167" s="1319"/>
      <c r="BP167" s="1485">
        <f>AC167</f>
        <v>0</v>
      </c>
      <c r="BQ167" s="131"/>
      <c r="BR167" s="132"/>
      <c r="BS167" s="99"/>
      <c r="BT167" s="284">
        <f>S167</f>
        <v>0</v>
      </c>
      <c r="BU167" s="214" t="str">
        <f>AG167</f>
        <v/>
      </c>
      <c r="BV167" s="214" t="str">
        <f>IF(AE167&gt;$CC$7,S167,IF(AE167="перех",(S167),"-"))</f>
        <v>-</v>
      </c>
      <c r="BW167" s="101"/>
      <c r="BX167" s="102"/>
      <c r="BY167" s="103" t="e">
        <f>($D$1-AJ167)*AX167</f>
        <v>#VALUE!</v>
      </c>
      <c r="BZ167" s="104">
        <f>IF(AM167&gt;0,"-",(AE167-BX167))</f>
        <v>0</v>
      </c>
      <c r="CA167" s="105">
        <f>IF(AM167&gt;0,"-",(($D$1-BX167)*H167))</f>
        <v>0</v>
      </c>
      <c r="CB167" s="718"/>
      <c r="CC167" s="719"/>
      <c r="CD167" s="719"/>
      <c r="CE167" s="720"/>
      <c r="CF167" s="721" t="s">
        <v>125</v>
      </c>
      <c r="CH167" s="1322">
        <v>2.4573066024769216E-2</v>
      </c>
      <c r="CI167" s="1322">
        <v>1.6098431593487583E-3</v>
      </c>
      <c r="CJ167" s="1322">
        <v>2.6182909184117975E-2</v>
      </c>
      <c r="CK167" s="1313">
        <f>IF($BP167&lt;=$B$1,T167-T167*CH167,T167)</f>
        <v>0</v>
      </c>
      <c r="CL167" s="1321">
        <f>IF($BP167&lt;=$B$1,S167-S167*CJ167,S167)</f>
        <v>0</v>
      </c>
      <c r="CM167" s="1321">
        <f>IF(CK167=0,M167-S167,($N167-$CK167)*$M167/$N167)</f>
        <v>0</v>
      </c>
      <c r="CN167" s="1321">
        <f>IF(CK167=0,0,-($CL167-$CK167*$M167/$N167))</f>
        <v>0</v>
      </c>
      <c r="CO167" s="1321">
        <f>CM167+CN167</f>
        <v>0</v>
      </c>
      <c r="CP167" s="1322">
        <v>1.2788029781702123E-2</v>
      </c>
      <c r="CQ167" s="1322">
        <v>7.6035270394966201E-3</v>
      </c>
      <c r="CR167" s="1322">
        <v>2.0391556821198743E-2</v>
      </c>
      <c r="CS167" s="1313">
        <f>IF($A167&lt;=$B$1,N167-N167*CP167,N167)</f>
        <v>0</v>
      </c>
      <c r="CT167" s="1321">
        <f>IF($A167&lt;=$B$1,M167-M167*CR167,M167)</f>
        <v>0</v>
      </c>
      <c r="CU167" s="602"/>
    </row>
    <row r="168" spans="1:99" ht="33.75" hidden="1" customHeight="1" outlineLevel="1">
      <c r="A168" s="310">
        <f>DAY(AE168)</f>
        <v>0</v>
      </c>
      <c r="B168" s="247"/>
      <c r="C168" s="247">
        <v>3</v>
      </c>
      <c r="D168" s="62" t="s">
        <v>254</v>
      </c>
      <c r="E168" s="62" t="s">
        <v>250</v>
      </c>
      <c r="F168" s="247"/>
      <c r="G168" s="80"/>
      <c r="H168" s="80"/>
      <c r="I168" s="80"/>
      <c r="J168" s="65"/>
      <c r="K168" s="629"/>
      <c r="L168" s="252">
        <v>0</v>
      </c>
      <c r="M168" s="68"/>
      <c r="N168" s="68"/>
      <c r="O168" s="372"/>
      <c r="P168" s="70"/>
      <c r="Q168" s="70"/>
      <c r="R168" s="629"/>
      <c r="S168" s="64"/>
      <c r="T168" s="70"/>
      <c r="U168" s="372"/>
      <c r="V168" s="70"/>
      <c r="W168" s="70">
        <v>3391.3</v>
      </c>
      <c r="X168" s="64"/>
      <c r="Y168" s="70"/>
      <c r="Z168" s="70"/>
      <c r="AA168" s="70"/>
      <c r="AB168" s="274" t="s">
        <v>93</v>
      </c>
      <c r="AC168" s="319"/>
      <c r="AD168" s="288"/>
      <c r="AE168" s="1723">
        <f>AD168</f>
        <v>0</v>
      </c>
      <c r="AF168" s="78">
        <f>SUM(IF(AC168="переход","",IF(AE168="переход",$D$1-AC168,AE168-AC168)))</f>
        <v>0</v>
      </c>
      <c r="AG168" s="75" t="str">
        <f>IF(S168="","",AF168*S168)</f>
        <v/>
      </c>
      <c r="AH168" s="319"/>
      <c r="AI168" s="288"/>
      <c r="AJ168" s="77"/>
      <c r="AK168" s="74"/>
      <c r="AL168" s="75"/>
      <c r="AM168" s="78"/>
      <c r="AN168" s="74"/>
      <c r="AO168" s="63"/>
      <c r="AP168" s="74"/>
      <c r="AQ168" s="112"/>
      <c r="AR168" s="68"/>
      <c r="AS168" s="68"/>
      <c r="AT168" s="68"/>
      <c r="AU168" s="68"/>
      <c r="AV168" s="258"/>
      <c r="AW168" s="843"/>
      <c r="AX168" s="84" t="str">
        <f>IF(AN168&lt;1,"-",AN168)</f>
        <v>-</v>
      </c>
      <c r="AY168" s="64" t="str">
        <f>IF(AX168="-","-",($B$2-AM168+1)*AX168)</f>
        <v>-</v>
      </c>
      <c r="AZ168" s="63" t="str">
        <f>IF(AX168="-","-",AX168-H168)</f>
        <v>-</v>
      </c>
      <c r="BA168" s="312" t="str">
        <f>IF(AX168="-","-",AX168/H168)</f>
        <v>-</v>
      </c>
      <c r="BB168" s="1317"/>
      <c r="BC168" s="1484"/>
      <c r="BD168" s="703"/>
      <c r="BE168" s="841"/>
      <c r="BF168" s="93"/>
      <c r="BG168" s="91"/>
      <c r="BH168" s="93"/>
      <c r="BI168" s="748"/>
      <c r="BJ168" s="748"/>
      <c r="BK168" s="748"/>
      <c r="BL168" s="91"/>
      <c r="BM168" s="91"/>
      <c r="BN168" s="94"/>
      <c r="BO168" s="1319"/>
      <c r="BP168" s="1485">
        <f>AC168</f>
        <v>0</v>
      </c>
      <c r="BQ168" s="131"/>
      <c r="BR168" s="132"/>
      <c r="BS168" s="99"/>
      <c r="BT168" s="284">
        <f>S168</f>
        <v>0</v>
      </c>
      <c r="BU168" s="214" t="str">
        <f>AG168</f>
        <v/>
      </c>
      <c r="BV168" s="214" t="str">
        <f>IF(AE168&gt;$CC$7,S168,IF(AE168="перех",(S168),"-"))</f>
        <v>-</v>
      </c>
      <c r="BW168" s="101"/>
      <c r="BX168" s="102"/>
      <c r="BY168" s="103" t="e">
        <f>($D$1-AJ168)*AX168</f>
        <v>#VALUE!</v>
      </c>
      <c r="BZ168" s="104">
        <f>IF(AM168&gt;0,"-",(AE168-BX168))</f>
        <v>0</v>
      </c>
      <c r="CA168" s="105">
        <f>IF(AM168&gt;0,"-",(($D$1-BX168)*H168))</f>
        <v>0</v>
      </c>
      <c r="CB168" s="718"/>
      <c r="CC168" s="719"/>
      <c r="CD168" s="719"/>
      <c r="CE168" s="720"/>
      <c r="CF168" s="721" t="s">
        <v>125</v>
      </c>
      <c r="CH168" s="1322">
        <v>2.4573066024769216E-2</v>
      </c>
      <c r="CI168" s="1322">
        <v>1.6098431593487583E-3</v>
      </c>
      <c r="CJ168" s="1322">
        <v>2.6182909184117975E-2</v>
      </c>
      <c r="CK168" s="1313">
        <f>IF($BP168&lt;=$B$1,T168-T168*CH168,T168)</f>
        <v>0</v>
      </c>
      <c r="CL168" s="1321">
        <f>IF($BP168&lt;=$B$1,S168-S168*CJ168,S168)</f>
        <v>0</v>
      </c>
      <c r="CM168" s="1321">
        <f>IF(CK168=0,M168-S168,($N168-$CK168)*$M168/$N168)</f>
        <v>0</v>
      </c>
      <c r="CN168" s="1321">
        <f>IF(CK168=0,0,-($CL168-$CK168*$M168/$N168))</f>
        <v>0</v>
      </c>
      <c r="CO168" s="1321">
        <f>CM168+CN168</f>
        <v>0</v>
      </c>
      <c r="CP168" s="1322">
        <v>1.2788029781702123E-2</v>
      </c>
      <c r="CQ168" s="1322">
        <v>7.6035270394966201E-3</v>
      </c>
      <c r="CR168" s="1322">
        <v>2.0391556821198743E-2</v>
      </c>
      <c r="CS168" s="1313">
        <f>IF($A168&lt;=$B$1,N168-N168*CP168,N168)</f>
        <v>0</v>
      </c>
      <c r="CT168" s="1321">
        <f>IF($A168&lt;=$B$1,M168-M168*CR168,M168)</f>
        <v>0</v>
      </c>
      <c r="CU168" s="602"/>
    </row>
    <row r="169" spans="1:99" ht="33.75" hidden="1" customHeight="1" outlineLevel="1">
      <c r="A169" s="310">
        <f>DAY(AE169)</f>
        <v>0</v>
      </c>
      <c r="B169" s="247"/>
      <c r="C169" s="247">
        <v>3</v>
      </c>
      <c r="D169" s="62" t="s">
        <v>254</v>
      </c>
      <c r="E169" s="62" t="s">
        <v>250</v>
      </c>
      <c r="F169" s="247"/>
      <c r="G169" s="80"/>
      <c r="H169" s="80"/>
      <c r="I169" s="80"/>
      <c r="J169" s="65"/>
      <c r="K169" s="629"/>
      <c r="L169" s="252">
        <v>0</v>
      </c>
      <c r="M169" s="68"/>
      <c r="N169" s="68"/>
      <c r="O169" s="372"/>
      <c r="P169" s="70"/>
      <c r="Q169" s="70"/>
      <c r="R169" s="629"/>
      <c r="S169" s="64"/>
      <c r="T169" s="70"/>
      <c r="U169" s="372"/>
      <c r="V169" s="70"/>
      <c r="W169" s="70">
        <v>2844.8</v>
      </c>
      <c r="X169" s="64"/>
      <c r="Y169" s="70"/>
      <c r="Z169" s="70"/>
      <c r="AA169" s="70"/>
      <c r="AB169" s="274" t="s">
        <v>93</v>
      </c>
      <c r="AC169" s="319"/>
      <c r="AD169" s="288"/>
      <c r="AE169" s="1723">
        <f>AD169</f>
        <v>0</v>
      </c>
      <c r="AF169" s="78">
        <f>SUM(IF(AC169="переход","",IF(AE169="переход",$D$1-AC169,AE169-AC169)))</f>
        <v>0</v>
      </c>
      <c r="AG169" s="75" t="str">
        <f>IF(S169="","",AF169*S169)</f>
        <v/>
      </c>
      <c r="AH169" s="319"/>
      <c r="AI169" s="288"/>
      <c r="AJ169" s="77"/>
      <c r="AK169" s="74"/>
      <c r="AL169" s="75"/>
      <c r="AM169" s="78"/>
      <c r="AN169" s="74"/>
      <c r="AO169" s="63"/>
      <c r="AP169" s="74"/>
      <c r="AQ169" s="112"/>
      <c r="AR169" s="68"/>
      <c r="AS169" s="68"/>
      <c r="AT169" s="68"/>
      <c r="AU169" s="68"/>
      <c r="AV169" s="258"/>
      <c r="AW169" s="843"/>
      <c r="AX169" s="84" t="str">
        <f>IF(AN169&lt;1,"-",AN169)</f>
        <v>-</v>
      </c>
      <c r="AY169" s="64" t="str">
        <f>IF(AX169="-","-",($B$2-AM169+1)*AX169)</f>
        <v>-</v>
      </c>
      <c r="AZ169" s="63" t="str">
        <f>IF(AX169="-","-",AX169-H169)</f>
        <v>-</v>
      </c>
      <c r="BA169" s="312" t="str">
        <f>IF(AX169="-","-",AX169/H169)</f>
        <v>-</v>
      </c>
      <c r="BB169" s="1317"/>
      <c r="BC169" s="1484"/>
      <c r="BD169" s="703"/>
      <c r="BE169" s="841"/>
      <c r="BF169" s="93"/>
      <c r="BG169" s="91"/>
      <c r="BH169" s="93"/>
      <c r="BI169" s="748"/>
      <c r="BJ169" s="748"/>
      <c r="BK169" s="748"/>
      <c r="BL169" s="91"/>
      <c r="BM169" s="91"/>
      <c r="BN169" s="94"/>
      <c r="BO169" s="1319"/>
      <c r="BP169" s="1485">
        <f>AC169</f>
        <v>0</v>
      </c>
      <c r="BQ169" s="131"/>
      <c r="BR169" s="132"/>
      <c r="BS169" s="99"/>
      <c r="BT169" s="284">
        <f>S169</f>
        <v>0</v>
      </c>
      <c r="BU169" s="214" t="str">
        <f>AG169</f>
        <v/>
      </c>
      <c r="BV169" s="214" t="str">
        <f>IF(AE169&gt;$CC$7,S169,IF(AE169="перех",(S169),"-"))</f>
        <v>-</v>
      </c>
      <c r="BW169" s="101"/>
      <c r="BX169" s="102"/>
      <c r="BY169" s="103" t="e">
        <f>($D$1-AJ169)*AX169</f>
        <v>#VALUE!</v>
      </c>
      <c r="BZ169" s="104">
        <f>IF(AM169&gt;0,"-",(AE169-BX169))</f>
        <v>0</v>
      </c>
      <c r="CA169" s="105">
        <f>IF(AM169&gt;0,"-",(($D$1-BX169)*H169))</f>
        <v>0</v>
      </c>
      <c r="CB169" s="718"/>
      <c r="CC169" s="719"/>
      <c r="CD169" s="719"/>
      <c r="CE169" s="720"/>
      <c r="CF169" s="721" t="s">
        <v>125</v>
      </c>
      <c r="CH169" s="1322">
        <v>2.4573066024769216E-2</v>
      </c>
      <c r="CI169" s="1322">
        <v>1.6098431593487583E-3</v>
      </c>
      <c r="CJ169" s="1322">
        <v>2.6182909184117975E-2</v>
      </c>
      <c r="CK169" s="1313">
        <f>IF($BP169&lt;=$B$1,T169-T169*CH169,T169)</f>
        <v>0</v>
      </c>
      <c r="CL169" s="1321">
        <f>IF($BP169&lt;=$B$1,S169-S169*CJ169,S169)</f>
        <v>0</v>
      </c>
      <c r="CM169" s="1321">
        <f>IF(CK169=0,M169-S169,($N169-$CK169)*$M169/$N169)</f>
        <v>0</v>
      </c>
      <c r="CN169" s="1321">
        <f>IF(CK169=0,0,-($CL169-$CK169*$M169/$N169))</f>
        <v>0</v>
      </c>
      <c r="CO169" s="1321">
        <f>CM169+CN169</f>
        <v>0</v>
      </c>
      <c r="CP169" s="1322">
        <v>1.2788029781702123E-2</v>
      </c>
      <c r="CQ169" s="1322">
        <v>7.6035270394966201E-3</v>
      </c>
      <c r="CR169" s="1322">
        <v>2.0391556821198743E-2</v>
      </c>
      <c r="CS169" s="1313">
        <f>IF($A169&lt;=$B$1,N169-N169*CP169,N169)</f>
        <v>0</v>
      </c>
      <c r="CT169" s="1321">
        <f>IF($A169&lt;=$B$1,M169-M169*CR169,M169)</f>
        <v>0</v>
      </c>
      <c r="CU169" s="602"/>
    </row>
    <row r="170" spans="1:99" ht="33.75" hidden="1" customHeight="1" outlineLevel="1">
      <c r="A170" s="310">
        <f>DAY(AE170)</f>
        <v>0</v>
      </c>
      <c r="B170" s="247"/>
      <c r="C170" s="247">
        <v>3</v>
      </c>
      <c r="D170" s="62" t="s">
        <v>254</v>
      </c>
      <c r="E170" s="62" t="s">
        <v>250</v>
      </c>
      <c r="F170" s="247"/>
      <c r="G170" s="80"/>
      <c r="H170" s="80"/>
      <c r="I170" s="80"/>
      <c r="J170" s="65"/>
      <c r="K170" s="629"/>
      <c r="L170" s="252">
        <v>0</v>
      </c>
      <c r="M170" s="68"/>
      <c r="N170" s="68"/>
      <c r="O170" s="372"/>
      <c r="P170" s="70"/>
      <c r="Q170" s="70"/>
      <c r="R170" s="629"/>
      <c r="S170" s="64"/>
      <c r="T170" s="70"/>
      <c r="U170" s="372"/>
      <c r="V170" s="70"/>
      <c r="W170" s="70">
        <v>2114.4</v>
      </c>
      <c r="X170" s="64"/>
      <c r="Y170" s="70"/>
      <c r="Z170" s="70"/>
      <c r="AA170" s="70"/>
      <c r="AB170" s="274" t="s">
        <v>93</v>
      </c>
      <c r="AC170" s="319"/>
      <c r="AD170" s="288"/>
      <c r="AE170" s="1723">
        <f>AD170</f>
        <v>0</v>
      </c>
      <c r="AF170" s="78">
        <f>SUM(IF(AC170="переход","",IF(AE170="переход",$D$1-AC170,AE170-AC170)))</f>
        <v>0</v>
      </c>
      <c r="AG170" s="75" t="str">
        <f>IF(S170="","",AF170*S170)</f>
        <v/>
      </c>
      <c r="AH170" s="319"/>
      <c r="AI170" s="288"/>
      <c r="AJ170" s="77"/>
      <c r="AK170" s="74"/>
      <c r="AL170" s="75"/>
      <c r="AM170" s="78"/>
      <c r="AN170" s="74"/>
      <c r="AO170" s="63"/>
      <c r="AP170" s="74"/>
      <c r="AQ170" s="112"/>
      <c r="AR170" s="68"/>
      <c r="AS170" s="68"/>
      <c r="AT170" s="68"/>
      <c r="AU170" s="68"/>
      <c r="AV170" s="258"/>
      <c r="AW170" s="843"/>
      <c r="AX170" s="84" t="str">
        <f>IF(AN170&lt;1,"-",AN170)</f>
        <v>-</v>
      </c>
      <c r="AY170" s="64" t="str">
        <f>IF(AX170="-","-",($B$2-AM170+1)*AX170)</f>
        <v>-</v>
      </c>
      <c r="AZ170" s="63" t="str">
        <f>IF(AX170="-","-",AX170-H170)</f>
        <v>-</v>
      </c>
      <c r="BA170" s="312" t="str">
        <f>IF(AX170="-","-",AX170/H170)</f>
        <v>-</v>
      </c>
      <c r="BB170" s="1317"/>
      <c r="BC170" s="1484"/>
      <c r="BD170" s="703"/>
      <c r="BE170" s="841"/>
      <c r="BF170" s="93"/>
      <c r="BG170" s="91"/>
      <c r="BH170" s="93"/>
      <c r="BI170" s="748"/>
      <c r="BJ170" s="748"/>
      <c r="BK170" s="748"/>
      <c r="BL170" s="91"/>
      <c r="BM170" s="91"/>
      <c r="BN170" s="94"/>
      <c r="BO170" s="1319"/>
      <c r="BP170" s="1485">
        <f>AC170</f>
        <v>0</v>
      </c>
      <c r="BQ170" s="131"/>
      <c r="BR170" s="132"/>
      <c r="BS170" s="99"/>
      <c r="BT170" s="284">
        <f>S170</f>
        <v>0</v>
      </c>
      <c r="BU170" s="214" t="str">
        <f>AG170</f>
        <v/>
      </c>
      <c r="BV170" s="214" t="str">
        <f>IF(AE170&gt;$CC$7,S170,IF(AE170="перех",(S170),"-"))</f>
        <v>-</v>
      </c>
      <c r="BW170" s="101"/>
      <c r="BX170" s="102"/>
      <c r="BY170" s="103" t="e">
        <f>($D$1-AJ170)*AX170</f>
        <v>#VALUE!</v>
      </c>
      <c r="BZ170" s="104">
        <f>IF(AM170&gt;0,"-",(AE170-BX170))</f>
        <v>0</v>
      </c>
      <c r="CA170" s="105">
        <f>IF(AM170&gt;0,"-",(($D$1-BX170)*H170))</f>
        <v>0</v>
      </c>
      <c r="CB170" s="718"/>
      <c r="CC170" s="719"/>
      <c r="CD170" s="719"/>
      <c r="CE170" s="720"/>
      <c r="CF170" s="721" t="s">
        <v>125</v>
      </c>
      <c r="CH170" s="1322">
        <v>2.4573066024769216E-2</v>
      </c>
      <c r="CI170" s="1322">
        <v>1.6098431593487583E-3</v>
      </c>
      <c r="CJ170" s="1322">
        <v>2.6182909184117975E-2</v>
      </c>
      <c r="CK170" s="1313">
        <f>IF($BP170&lt;=$B$1,T170-T170*CH170,T170)</f>
        <v>0</v>
      </c>
      <c r="CL170" s="1321">
        <f>IF($BP170&lt;=$B$1,S170-S170*CJ170,S170)</f>
        <v>0</v>
      </c>
      <c r="CM170" s="1321">
        <f>IF(CK170=0,M170-S170,($N170-$CK170)*$M170/$N170)</f>
        <v>0</v>
      </c>
      <c r="CN170" s="1321">
        <f>IF(CK170=0,0,-($CL170-$CK170*$M170/$N170))</f>
        <v>0</v>
      </c>
      <c r="CO170" s="1321">
        <f>CM170+CN170</f>
        <v>0</v>
      </c>
      <c r="CP170" s="1322">
        <v>1.2788029781702123E-2</v>
      </c>
      <c r="CQ170" s="1322">
        <v>7.6035270394966201E-3</v>
      </c>
      <c r="CR170" s="1322">
        <v>2.0391556821198743E-2</v>
      </c>
      <c r="CS170" s="1313">
        <f>IF($A170&lt;=$B$1,N170-N170*CP170,N170)</f>
        <v>0</v>
      </c>
      <c r="CT170" s="1321">
        <f>IF($A170&lt;=$B$1,M170-M170*CR170,M170)</f>
        <v>0</v>
      </c>
      <c r="CU170" s="602"/>
    </row>
    <row r="171" spans="1:99" ht="33.75" hidden="1" customHeight="1" outlineLevel="2">
      <c r="A171" s="310"/>
      <c r="B171" s="247"/>
      <c r="C171" s="247"/>
      <c r="D171" s="62"/>
      <c r="E171" s="62"/>
      <c r="F171" s="247"/>
      <c r="G171" s="80"/>
      <c r="H171" s="80"/>
      <c r="I171" s="80"/>
      <c r="J171" s="65"/>
      <c r="K171" s="629"/>
      <c r="L171" s="252"/>
      <c r="M171" s="68"/>
      <c r="N171" s="68"/>
      <c r="O171" s="372"/>
      <c r="P171" s="70"/>
      <c r="Q171" s="70"/>
      <c r="R171" s="629"/>
      <c r="S171" s="64"/>
      <c r="T171" s="70"/>
      <c r="U171" s="372"/>
      <c r="V171" s="70"/>
      <c r="W171" s="70"/>
      <c r="X171" s="64"/>
      <c r="Y171" s="70"/>
      <c r="Z171" s="70"/>
      <c r="AA171" s="70"/>
      <c r="AB171" s="274"/>
      <c r="AC171" s="319"/>
      <c r="AD171" s="288"/>
      <c r="AE171" s="1723"/>
      <c r="AF171" s="78"/>
      <c r="AG171" s="75"/>
      <c r="AH171" s="319"/>
      <c r="AI171" s="288"/>
      <c r="AJ171" s="77"/>
      <c r="AK171" s="74"/>
      <c r="AL171" s="75"/>
      <c r="AM171" s="78"/>
      <c r="AN171" s="74"/>
      <c r="AO171" s="63"/>
      <c r="AP171" s="74"/>
      <c r="AQ171" s="112"/>
      <c r="AR171" s="68"/>
      <c r="AS171" s="68"/>
      <c r="AT171" s="68"/>
      <c r="AU171" s="68"/>
      <c r="AV171" s="258"/>
      <c r="AW171" s="843"/>
      <c r="AX171" s="84"/>
      <c r="AY171" s="64"/>
      <c r="AZ171" s="63"/>
      <c r="BA171" s="312"/>
      <c r="BB171" s="1317"/>
      <c r="BC171" s="1484"/>
      <c r="BD171" s="703"/>
      <c r="BE171" s="841"/>
      <c r="BF171" s="93"/>
      <c r="BG171" s="91"/>
      <c r="BH171" s="93"/>
      <c r="BI171" s="748"/>
      <c r="BJ171" s="748"/>
      <c r="BK171" s="748"/>
      <c r="BL171" s="91"/>
      <c r="BM171" s="91"/>
      <c r="BN171" s="94"/>
      <c r="BO171" s="1319"/>
      <c r="BP171" s="1485"/>
      <c r="BQ171" s="131"/>
      <c r="BR171" s="132"/>
      <c r="BS171" s="99"/>
      <c r="BT171" s="284"/>
      <c r="BU171" s="214"/>
      <c r="BV171" s="214"/>
      <c r="BW171" s="101"/>
      <c r="BX171" s="102"/>
      <c r="BY171" s="103"/>
      <c r="BZ171" s="104"/>
      <c r="CA171" s="105"/>
      <c r="CB171" s="718"/>
      <c r="CC171" s="719"/>
      <c r="CD171" s="719"/>
      <c r="CE171" s="720"/>
      <c r="CF171" s="721"/>
      <c r="CH171" s="1322"/>
      <c r="CI171" s="1322"/>
      <c r="CJ171" s="1322"/>
      <c r="CK171" s="1313"/>
      <c r="CL171" s="1321"/>
      <c r="CM171" s="1321"/>
      <c r="CN171" s="1321"/>
      <c r="CO171" s="1321"/>
      <c r="CP171" s="1322"/>
      <c r="CQ171" s="1322"/>
      <c r="CR171" s="1322"/>
      <c r="CS171" s="1313"/>
      <c r="CT171" s="1321"/>
      <c r="CU171" s="602"/>
    </row>
    <row r="172" spans="1:99" ht="33.75" hidden="1" customHeight="1" outlineLevel="2">
      <c r="A172" s="310"/>
      <c r="B172" s="247"/>
      <c r="C172" s="247"/>
      <c r="D172" s="62"/>
      <c r="E172" s="62"/>
      <c r="F172" s="247"/>
      <c r="G172" s="80"/>
      <c r="H172" s="80"/>
      <c r="I172" s="80"/>
      <c r="J172" s="65"/>
      <c r="K172" s="629"/>
      <c r="L172" s="252"/>
      <c r="M172" s="68"/>
      <c r="N172" s="68"/>
      <c r="O172" s="372"/>
      <c r="P172" s="70"/>
      <c r="Q172" s="70"/>
      <c r="R172" s="629"/>
      <c r="S172" s="64"/>
      <c r="T172" s="70"/>
      <c r="U172" s="372"/>
      <c r="V172" s="70"/>
      <c r="W172" s="70"/>
      <c r="X172" s="64"/>
      <c r="Y172" s="70"/>
      <c r="Z172" s="70"/>
      <c r="AA172" s="70"/>
      <c r="AB172" s="274"/>
      <c r="AC172" s="319"/>
      <c r="AD172" s="288"/>
      <c r="AE172" s="1723"/>
      <c r="AF172" s="78"/>
      <c r="AG172" s="75"/>
      <c r="AH172" s="319"/>
      <c r="AI172" s="288"/>
      <c r="AJ172" s="77"/>
      <c r="AK172" s="74"/>
      <c r="AL172" s="75"/>
      <c r="AM172" s="78"/>
      <c r="AN172" s="74"/>
      <c r="AO172" s="63"/>
      <c r="AP172" s="74"/>
      <c r="AQ172" s="112"/>
      <c r="AR172" s="68"/>
      <c r="AS172" s="68"/>
      <c r="AT172" s="68"/>
      <c r="AU172" s="68"/>
      <c r="AV172" s="258"/>
      <c r="AW172" s="843"/>
      <c r="AX172" s="84"/>
      <c r="AY172" s="64"/>
      <c r="AZ172" s="63"/>
      <c r="BA172" s="312"/>
      <c r="BB172" s="1317"/>
      <c r="BC172" s="1484"/>
      <c r="BD172" s="703"/>
      <c r="BE172" s="841"/>
      <c r="BF172" s="93"/>
      <c r="BG172" s="91"/>
      <c r="BH172" s="93"/>
      <c r="BI172" s="748"/>
      <c r="BJ172" s="748"/>
      <c r="BK172" s="748"/>
      <c r="BL172" s="91"/>
      <c r="BM172" s="91"/>
      <c r="BN172" s="94"/>
      <c r="BO172" s="1319"/>
      <c r="BP172" s="1485"/>
      <c r="BQ172" s="131"/>
      <c r="BR172" s="132"/>
      <c r="BS172" s="99"/>
      <c r="BT172" s="284"/>
      <c r="BU172" s="214"/>
      <c r="BV172" s="214"/>
      <c r="BW172" s="101"/>
      <c r="BX172" s="102"/>
      <c r="BY172" s="103"/>
      <c r="BZ172" s="104"/>
      <c r="CA172" s="105"/>
      <c r="CB172" s="718"/>
      <c r="CC172" s="719"/>
      <c r="CD172" s="719"/>
      <c r="CE172" s="720"/>
      <c r="CF172" s="721"/>
      <c r="CH172" s="1322"/>
      <c r="CI172" s="1322"/>
      <c r="CJ172" s="1322"/>
      <c r="CK172" s="1313"/>
      <c r="CL172" s="1321"/>
      <c r="CM172" s="1321"/>
      <c r="CN172" s="1321"/>
      <c r="CO172" s="1321"/>
      <c r="CP172" s="1322"/>
      <c r="CQ172" s="1322"/>
      <c r="CR172" s="1322"/>
      <c r="CS172" s="1313"/>
      <c r="CT172" s="1321"/>
      <c r="CU172" s="602"/>
    </row>
    <row r="173" spans="1:99" ht="30" hidden="1" customHeight="1" outlineLevel="1">
      <c r="A173" s="325" t="s">
        <v>91</v>
      </c>
      <c r="B173" s="149">
        <f>COUNTIF(A166:A171,$B$1)</f>
        <v>5</v>
      </c>
      <c r="C173" s="327"/>
      <c r="D173" s="328"/>
      <c r="E173" s="328"/>
      <c r="F173" s="328"/>
      <c r="G173" s="329"/>
      <c r="H173" s="152">
        <f>SUMIF(A155:A160,$B$1,H155:H160)</f>
        <v>0</v>
      </c>
      <c r="I173" s="329"/>
      <c r="J173" s="329"/>
      <c r="K173" s="329"/>
      <c r="L173" s="153">
        <f>SUMIF(A166:A172,$B$1,L166:L172)</f>
        <v>0</v>
      </c>
      <c r="M173" s="153">
        <f>SUMIF(A166:A172,$B$1,M166:M172)</f>
        <v>0</v>
      </c>
      <c r="N173" s="329"/>
      <c r="O173" s="329"/>
      <c r="P173" s="329"/>
      <c r="Q173" s="329"/>
      <c r="R173" s="329"/>
      <c r="S173" s="152">
        <f>SUMIF(A166:A172,$B$1,S166:S172)</f>
        <v>0</v>
      </c>
      <c r="T173" s="152">
        <f>SUMIF(A166:A172,$B$1,T166:T172)</f>
        <v>0</v>
      </c>
      <c r="U173" s="328"/>
      <c r="V173" s="328"/>
      <c r="W173" s="328"/>
      <c r="X173" s="329"/>
      <c r="Y173" s="329"/>
      <c r="Z173" s="328"/>
      <c r="AA173" s="328"/>
      <c r="AB173" s="328"/>
      <c r="AC173" s="331"/>
      <c r="AD173" s="332"/>
      <c r="AE173" s="333"/>
      <c r="AF173" s="329"/>
      <c r="AG173" s="334"/>
      <c r="AH173" s="335"/>
      <c r="AI173" s="333"/>
      <c r="AJ173" s="333"/>
      <c r="AK173" s="329"/>
      <c r="AL173" s="334"/>
      <c r="AM173" s="336">
        <f>COUNTA(AM166:AM172)</f>
        <v>0</v>
      </c>
      <c r="AN173" s="546">
        <f>SUM(AN166:AN172)</f>
        <v>0</v>
      </c>
      <c r="AO173" s="152">
        <f>SUM(AO166:AO172)</f>
        <v>0</v>
      </c>
      <c r="AP173" s="337"/>
      <c r="AQ173" s="328"/>
      <c r="AR173" s="328"/>
      <c r="AS173" s="328"/>
      <c r="AT173" s="328"/>
      <c r="AU173" s="328"/>
      <c r="AV173" s="328"/>
      <c r="AW173" s="328"/>
      <c r="AX173" s="338">
        <f>SUM(AX166:AX172)</f>
        <v>0</v>
      </c>
      <c r="AY173" s="338">
        <f>SUM(AY166:AY172)</f>
        <v>0</v>
      </c>
      <c r="AZ173" s="338">
        <f>SUM(AZ166:AZ172)</f>
        <v>0</v>
      </c>
      <c r="BA173" s="221" t="str">
        <f>IF(COUNT(BA166:BA172)=0,"-",AVERAGE(BA166:BA172))</f>
        <v>-</v>
      </c>
      <c r="BB173" s="1394"/>
      <c r="BC173" s="165"/>
      <c r="BD173" s="341"/>
      <c r="BE173" s="341"/>
      <c r="BF173" s="895"/>
      <c r="BG173" s="895"/>
      <c r="BH173" s="895"/>
      <c r="BI173" s="895"/>
      <c r="BJ173" s="895"/>
      <c r="BK173" s="895"/>
      <c r="BL173" s="895"/>
      <c r="BM173" s="895"/>
      <c r="BN173" s="163"/>
      <c r="BO173" s="149"/>
      <c r="BP173" s="1489">
        <f>COUNTA(BP166:BP172)</f>
        <v>5</v>
      </c>
      <c r="BQ173" s="709">
        <f>SUM(BQ166:BQ172)</f>
        <v>0</v>
      </c>
      <c r="BR173" s="711">
        <f>SUM(BR166:BR172)</f>
        <v>0</v>
      </c>
      <c r="BS173" s="712"/>
      <c r="BT173" s="708">
        <f>COUNTA(BT166:BT171)</f>
        <v>5</v>
      </c>
      <c r="BU173" s="802">
        <f>SUM(BU166:BU169)</f>
        <v>0</v>
      </c>
      <c r="BV173" s="803">
        <f>SUM(BV166:BV170)</f>
        <v>0</v>
      </c>
      <c r="BW173" s="946"/>
      <c r="BX173" s="172"/>
      <c r="BY173" s="947">
        <f>AM173</f>
        <v>0</v>
      </c>
      <c r="BZ173" s="947">
        <f>COUNTIF(BZ166:BZ172,"=0")</f>
        <v>5</v>
      </c>
      <c r="CA173" s="948">
        <f>SUM(COUNTIF(BZ155:BZ160,"&lt;0"),COUNTIF(BZ155:BZ160,"&gt;0"))</f>
        <v>0</v>
      </c>
      <c r="CB173" s="949">
        <f>COUNTIF(CB161:CB162,"1")</f>
        <v>0</v>
      </c>
      <c r="CC173" s="950">
        <f>SUM(CC161:CC162)</f>
        <v>0</v>
      </c>
      <c r="CD173" s="951">
        <f>COUNTIF(CD161:CD165,"1")</f>
        <v>0</v>
      </c>
      <c r="CE173" s="952">
        <f>SUM(CE161:CE165)</f>
        <v>0</v>
      </c>
      <c r="CF173" s="1600"/>
      <c r="CK173" s="1354">
        <f>SUMIF($BP166:$BP172,$B$1,CK166:CK172)</f>
        <v>0</v>
      </c>
      <c r="CL173" s="1355">
        <f>SUMIF($BP166:$BP172,$B$1,CL166:CL172)</f>
        <v>0</v>
      </c>
      <c r="CM173" s="1355">
        <f>SUMIF($A166:$A172,$B$1,CM166:CM172)</f>
        <v>0</v>
      </c>
      <c r="CN173" s="1355">
        <f>SUMIF($A166:$A172,$B$1,CN166:CN172)</f>
        <v>0</v>
      </c>
      <c r="CO173" s="1356">
        <f>SUMIF($A166:$A172,$B$1,CO166:CO172)</f>
        <v>0</v>
      </c>
      <c r="CP173" s="1312"/>
      <c r="CQ173" s="1312"/>
      <c r="CR173" s="1312"/>
      <c r="CS173" s="1354">
        <f>SUMIF($A166:$A172,$B$1,CS166:CS172)</f>
        <v>0</v>
      </c>
      <c r="CT173" s="1354">
        <f>SUMIF($A166:$A172,$B$1,CT166:CT172)</f>
        <v>0</v>
      </c>
      <c r="CU173" s="602"/>
    </row>
    <row r="174" spans="1:99" ht="30" hidden="1" customHeight="1" outlineLevel="1">
      <c r="A174" s="1398" t="s">
        <v>89</v>
      </c>
      <c r="B174" s="1399">
        <f>COUNT(A166)</f>
        <v>1</v>
      </c>
      <c r="C174" s="1400"/>
      <c r="D174" s="1401"/>
      <c r="E174" s="1401"/>
      <c r="F174" s="1401"/>
      <c r="G174" s="1402"/>
      <c r="H174" s="1402">
        <f>SUM(H173)</f>
        <v>0</v>
      </c>
      <c r="I174" s="1402">
        <f>SUM(I173)</f>
        <v>0</v>
      </c>
      <c r="J174" s="1402">
        <f>SUM(J173)</f>
        <v>0</v>
      </c>
      <c r="K174" s="1402"/>
      <c r="L174" s="1402"/>
      <c r="M174" s="1402"/>
      <c r="N174" s="1402"/>
      <c r="O174" s="1402"/>
      <c r="P174" s="1402"/>
      <c r="Q174" s="1402"/>
      <c r="R174" s="1403"/>
      <c r="S174" s="1403">
        <f>SUMIF(AE166:AE172,"переход",S166:S172)</f>
        <v>0</v>
      </c>
      <c r="T174" s="1403"/>
      <c r="U174" s="1401"/>
      <c r="V174" s="1401"/>
      <c r="W174" s="1401"/>
      <c r="X174" s="1404"/>
      <c r="Y174" s="1403"/>
      <c r="Z174" s="1401"/>
      <c r="AA174" s="1401"/>
      <c r="AB174" s="1401"/>
      <c r="AC174" s="1405"/>
      <c r="AD174" s="1405"/>
      <c r="AE174" s="1405"/>
      <c r="AF174" s="1402">
        <f>COUNT(AG166:AG172)</f>
        <v>0</v>
      </c>
      <c r="AG174" s="1406">
        <f>SUM(AG166:AG172)</f>
        <v>0</v>
      </c>
      <c r="AH174" s="1405"/>
      <c r="AI174" s="1405"/>
      <c r="AJ174" s="1405"/>
      <c r="AK174" s="1402"/>
      <c r="AL174" s="1402"/>
      <c r="AM174" s="1401">
        <f>SUM(AM173,AM163)</f>
        <v>0</v>
      </c>
      <c r="AN174" s="1402">
        <f>SUM(AN173,AN163)</f>
        <v>0</v>
      </c>
      <c r="AO174" s="1401"/>
      <c r="AP174" s="1407"/>
      <c r="AQ174" s="1401"/>
      <c r="AR174" s="1401"/>
      <c r="AS174" s="1401"/>
      <c r="AT174" s="1401"/>
      <c r="AU174" s="1401"/>
      <c r="AV174" s="1401"/>
      <c r="AW174" s="1401"/>
      <c r="AX174" s="1409">
        <f>SUM(AX173,AX163)</f>
        <v>0</v>
      </c>
      <c r="AY174" s="1409">
        <f>SUM(AY173,AY163)</f>
        <v>0</v>
      </c>
      <c r="AZ174" s="1409">
        <f>SUM(AZ173,AZ163)</f>
        <v>0</v>
      </c>
      <c r="BA174" s="1410" t="str">
        <f>IF(COUNT(BA155:BA162,BA166:BA172)=0,"-",AVERAGE(BA155:BA162,BA166:BA172))</f>
        <v>-</v>
      </c>
      <c r="BB174" s="1409">
        <f>+BB164</f>
        <v>0</v>
      </c>
      <c r="BC174" s="350"/>
      <c r="BD174" s="350"/>
      <c r="BE174" s="350"/>
      <c r="BF174" s="350"/>
      <c r="BG174" s="350"/>
      <c r="BH174" s="350"/>
      <c r="BI174" s="350"/>
      <c r="BJ174" s="350"/>
      <c r="BK174" s="350"/>
      <c r="BL174" s="350"/>
      <c r="BM174" s="350"/>
      <c r="BN174" s="350"/>
      <c r="BO174" s="350"/>
      <c r="BP174" s="954"/>
      <c r="BQ174" s="955"/>
      <c r="BR174" s="955"/>
      <c r="BS174" s="956">
        <f>SUMIF(BS166:BS172,"",BR166:BR172)</f>
        <v>0</v>
      </c>
      <c r="BT174" s="957"/>
      <c r="BU174" s="958"/>
      <c r="BV174" s="958"/>
      <c r="BW174" s="959"/>
      <c r="BX174" s="960"/>
      <c r="BY174" s="961" t="e">
        <f>SUM(BY166:BY172)</f>
        <v>#VALUE!</v>
      </c>
      <c r="BZ174" s="961">
        <f>SUMIF(BZ166:BZ172,"=0",CA166:CA172)</f>
        <v>0</v>
      </c>
      <c r="CA174" s="962">
        <f>SUMIF(BZ166:BZ172,"&lt;&gt;0",CA166:CA172)</f>
        <v>0</v>
      </c>
      <c r="CB174" s="961"/>
      <c r="CC174" s="961"/>
      <c r="CD174" s="961"/>
      <c r="CE174" s="961"/>
      <c r="CF174" s="361"/>
      <c r="CK174" s="1357"/>
      <c r="CL174" s="1358">
        <f>CL173-$S173</f>
        <v>0</v>
      </c>
      <c r="CM174" s="1357"/>
      <c r="CN174" s="1359"/>
      <c r="CO174" s="1357"/>
      <c r="CP174" s="1312"/>
      <c r="CQ174" s="1312"/>
      <c r="CR174" s="1312"/>
      <c r="CS174" s="1357"/>
      <c r="CT174" s="1358">
        <f>CT173-$M173</f>
        <v>0</v>
      </c>
      <c r="CU174" s="602"/>
    </row>
    <row r="175" spans="1:99" ht="24.75" customHeight="1" collapsed="1">
      <c r="B175" s="1633"/>
      <c r="C175" s="1633"/>
      <c r="D175" s="1634"/>
      <c r="E175" s="1634"/>
      <c r="F175" s="676"/>
      <c r="G175" s="1635"/>
      <c r="H175" s="1336"/>
      <c r="I175" s="1336"/>
      <c r="J175" s="1336"/>
      <c r="K175" s="967"/>
      <c r="L175" s="1636"/>
      <c r="M175" s="1336"/>
      <c r="N175" s="968"/>
      <c r="O175" s="1337"/>
      <c r="P175" s="968"/>
      <c r="Q175" s="967"/>
      <c r="R175" s="1637"/>
      <c r="BN175" s="1638"/>
      <c r="BO175" s="1638"/>
      <c r="CB175" s="1"/>
      <c r="CC175" s="268"/>
      <c r="CD175" s="216"/>
      <c r="CE175" s="1"/>
      <c r="CK175" s="1315"/>
      <c r="CL175" s="1315"/>
      <c r="CM175" s="1315"/>
      <c r="CN175" s="1315"/>
      <c r="CO175" s="1315"/>
      <c r="CP175" s="1315"/>
      <c r="CQ175" s="1315"/>
      <c r="CR175" s="1315"/>
      <c r="CS175" s="1315"/>
      <c r="CT175" s="1315"/>
      <c r="CU175" s="602"/>
    </row>
    <row r="176" spans="1:99" ht="24.75" hidden="1" customHeight="1">
      <c r="A176" s="1640" t="s">
        <v>249</v>
      </c>
      <c r="B176" s="1641"/>
      <c r="C176" s="1641"/>
      <c r="D176" s="1642"/>
      <c r="E176" s="1642"/>
      <c r="F176" s="1643"/>
      <c r="G176" s="1643"/>
      <c r="H176" s="1644"/>
      <c r="I176" s="1644"/>
      <c r="J176" s="1644"/>
      <c r="K176" s="1645"/>
      <c r="L176" s="1679">
        <f ca="1">L87+L93+L102+L120+L128+L142+L153+L163+L173</f>
        <v>57</v>
      </c>
      <c r="M176" s="1679">
        <f>M87+M93+M102+M120+M128+M142+M153+M163+M173</f>
        <v>210</v>
      </c>
      <c r="N176" s="1646"/>
      <c r="O176" s="1647"/>
      <c r="P176" s="1646"/>
      <c r="Q176" s="1646"/>
      <c r="R176" s="1648"/>
      <c r="S176" s="1679">
        <f>S87+S93+S102+S120+S128+S142+S153+S163+S173</f>
        <v>153</v>
      </c>
      <c r="T176" s="1679">
        <f ca="1">T87+T93+T102+T120+T128+T142+T153+T163+T173</f>
        <v>468</v>
      </c>
      <c r="U176" s="1650"/>
      <c r="V176" s="1650"/>
      <c r="W176" s="1650"/>
      <c r="X176" s="1650"/>
      <c r="Y176" s="1650"/>
      <c r="Z176" s="1650"/>
      <c r="AA176" s="1650"/>
      <c r="AB176" s="1650"/>
      <c r="AC176" s="1651"/>
      <c r="AD176" s="1651"/>
      <c r="AE176" s="1651"/>
      <c r="AF176" s="1649"/>
      <c r="AG176" s="1649"/>
      <c r="AH176" s="1651"/>
      <c r="AI176" s="1651"/>
      <c r="AJ176" s="1651"/>
      <c r="AK176" s="1649"/>
      <c r="AL176" s="1649"/>
      <c r="AM176" s="1650"/>
      <c r="AN176" s="1650"/>
      <c r="AO176" s="1650"/>
      <c r="AP176" s="1650"/>
      <c r="AQ176" s="1650"/>
      <c r="AR176" s="1650"/>
      <c r="AS176" s="1650"/>
      <c r="AT176" s="1650"/>
      <c r="AU176" s="1650"/>
      <c r="AV176" s="1650"/>
      <c r="AW176" s="1650"/>
      <c r="AX176" s="1650"/>
      <c r="AY176" s="1650"/>
      <c r="AZ176" s="1650"/>
      <c r="BA176" s="1650"/>
      <c r="BB176" s="1650"/>
      <c r="BC176" s="1650"/>
      <c r="BD176" s="1650"/>
      <c r="BE176" s="1650"/>
      <c r="BF176" s="1650"/>
      <c r="BG176" s="1650"/>
      <c r="BH176" s="1650"/>
      <c r="BI176" s="1650"/>
      <c r="BJ176" s="1650"/>
      <c r="BK176" s="1650"/>
      <c r="BL176" s="1650"/>
      <c r="BM176" s="1650"/>
      <c r="BN176" s="1650"/>
      <c r="BO176" s="1652"/>
      <c r="BP176" s="1650"/>
      <c r="BQ176" s="1650"/>
      <c r="BR176" s="1650"/>
      <c r="BS176" s="1650"/>
      <c r="BT176" s="1650"/>
      <c r="BU176" s="1650"/>
      <c r="BV176" s="1653"/>
      <c r="CB176" s="1"/>
      <c r="CC176" s="268"/>
      <c r="CD176" s="216"/>
      <c r="CE176" s="1"/>
      <c r="CK176" s="1315"/>
      <c r="CL176" s="1315"/>
      <c r="CM176" s="1315"/>
      <c r="CN176" s="1315"/>
      <c r="CO176" s="1315"/>
      <c r="CP176" s="1315"/>
      <c r="CQ176" s="1315"/>
      <c r="CR176" s="1315"/>
      <c r="CS176" s="1315"/>
      <c r="CT176" s="1315"/>
      <c r="CU176" s="602"/>
    </row>
    <row r="177" spans="1:99" ht="24.75" hidden="1" customHeight="1">
      <c r="A177" s="1654" t="s">
        <v>248</v>
      </c>
      <c r="B177" s="1655"/>
      <c r="C177" s="1655"/>
      <c r="D177" s="1656"/>
      <c r="E177" s="1656"/>
      <c r="F177" s="1657"/>
      <c r="G177" s="1657"/>
      <c r="H177" s="1658"/>
      <c r="I177" s="1658"/>
      <c r="J177" s="1658"/>
      <c r="K177" s="1659"/>
      <c r="L177" s="1680">
        <f ca="1">L12+L17+L24+L30+L45+L52+L60+L70+L79</f>
        <v>131.5</v>
      </c>
      <c r="M177" s="1680">
        <f>M12+M17+M24+M30+M45+M52+M60+M70+M79</f>
        <v>133</v>
      </c>
      <c r="N177" s="1659"/>
      <c r="O177" s="1660"/>
      <c r="P177" s="1659"/>
      <c r="Q177" s="1659"/>
      <c r="R177" s="1661"/>
      <c r="S177" s="1680">
        <f>S12+S17+S24+S30+S45+S52+S60+S70+S79</f>
        <v>1.5</v>
      </c>
      <c r="T177" s="1680">
        <f>T12+T17+T24+T30+T45+T52+T60+T70+T79</f>
        <v>0</v>
      </c>
      <c r="U177" s="1662"/>
      <c r="V177" s="1662"/>
      <c r="W177" s="1662"/>
      <c r="X177" s="1662"/>
      <c r="Y177" s="1662"/>
      <c r="Z177" s="1662"/>
      <c r="AA177" s="1662"/>
      <c r="AB177" s="1662"/>
      <c r="AC177" s="1663"/>
      <c r="AD177" s="1663"/>
      <c r="AE177" s="1663"/>
      <c r="AF177" s="1664"/>
      <c r="AG177" s="1664"/>
      <c r="AH177" s="1663"/>
      <c r="AI177" s="1663"/>
      <c r="AJ177" s="1663"/>
      <c r="AK177" s="1664"/>
      <c r="AL177" s="1664"/>
      <c r="AM177" s="1662"/>
      <c r="AN177" s="1662"/>
      <c r="AO177" s="1662"/>
      <c r="AP177" s="1662"/>
      <c r="AQ177" s="1662"/>
      <c r="AR177" s="1662"/>
      <c r="AS177" s="1662"/>
      <c r="AT177" s="1662"/>
      <c r="AU177" s="1662"/>
      <c r="AV177" s="1662"/>
      <c r="AW177" s="1662"/>
      <c r="AX177" s="1662"/>
      <c r="AY177" s="1662"/>
      <c r="AZ177" s="1662"/>
      <c r="BA177" s="1662"/>
      <c r="BB177" s="1662"/>
      <c r="BC177" s="1662"/>
      <c r="BD177" s="1662"/>
      <c r="BE177" s="1662"/>
      <c r="BF177" s="1662"/>
      <c r="BG177" s="1662"/>
      <c r="BH177" s="1662"/>
      <c r="BI177" s="1662"/>
      <c r="BJ177" s="1662"/>
      <c r="BK177" s="1662"/>
      <c r="BL177" s="1662"/>
      <c r="BM177" s="1662"/>
      <c r="BN177" s="1662"/>
      <c r="BO177" s="1665"/>
      <c r="BP177" s="1662"/>
      <c r="BQ177" s="1662"/>
      <c r="BR177" s="1662"/>
      <c r="BS177" s="1662"/>
      <c r="BT177" s="1662"/>
      <c r="BU177" s="1662"/>
      <c r="BV177" s="1666"/>
      <c r="BY177" s="103"/>
      <c r="BZ177" s="104"/>
      <c r="CA177" s="105"/>
      <c r="CB177" s="1"/>
      <c r="CC177" s="268"/>
      <c r="CD177" s="216"/>
      <c r="CE177" s="1"/>
      <c r="CK177" s="1315"/>
      <c r="CL177" s="1315"/>
      <c r="CM177" s="1315"/>
      <c r="CN177" s="1315"/>
      <c r="CO177" s="1315"/>
      <c r="CP177" s="1315"/>
      <c r="CQ177" s="1315"/>
      <c r="CR177" s="1315"/>
      <c r="CS177" s="1315"/>
      <c r="CT177" s="1315"/>
      <c r="CU177" s="602"/>
    </row>
    <row r="178" spans="1:99" ht="24.75" hidden="1" customHeight="1">
      <c r="A178" s="1667" t="s">
        <v>163</v>
      </c>
      <c r="B178" s="1668"/>
      <c r="C178" s="1668"/>
      <c r="D178" s="1668"/>
      <c r="E178" s="1668"/>
      <c r="F178" s="1669"/>
      <c r="G178" s="1668"/>
      <c r="H178" s="1668"/>
      <c r="I178" s="1668"/>
      <c r="J178" s="1668"/>
      <c r="K178" s="1668"/>
      <c r="L178" s="1680">
        <f ca="1">L177+L176</f>
        <v>188.5</v>
      </c>
      <c r="M178" s="1680">
        <f>M177+M176</f>
        <v>343</v>
      </c>
      <c r="N178" s="1668"/>
      <c r="O178" s="1668"/>
      <c r="P178" s="1668"/>
      <c r="Q178" s="1668"/>
      <c r="R178" s="1670"/>
      <c r="S178" s="1680">
        <f>S177+S176</f>
        <v>154.5</v>
      </c>
      <c r="T178" s="1680">
        <f ca="1">T177+T176</f>
        <v>468</v>
      </c>
      <c r="U178" s="1670"/>
      <c r="V178" s="1670"/>
      <c r="W178" s="1670"/>
      <c r="X178" s="1670"/>
      <c r="Y178" s="1670"/>
      <c r="Z178" s="1670"/>
      <c r="AA178" s="1670"/>
      <c r="AB178" s="1670"/>
      <c r="AC178" s="1671"/>
      <c r="AD178" s="1671"/>
      <c r="AE178" s="1671"/>
      <c r="AF178" s="1672"/>
      <c r="AG178" s="1673"/>
      <c r="AH178" s="1671"/>
      <c r="AI178" s="1671"/>
      <c r="AJ178" s="1671"/>
      <c r="AK178" s="1672"/>
      <c r="AL178" s="1672"/>
      <c r="AM178" s="1670"/>
      <c r="AN178" s="1670"/>
      <c r="AO178" s="1670"/>
      <c r="AP178" s="1670"/>
      <c r="AQ178" s="1670"/>
      <c r="AR178" s="1670"/>
      <c r="AS178" s="1670"/>
      <c r="AT178" s="1670"/>
      <c r="AU178" s="1670"/>
      <c r="AV178" s="1670"/>
      <c r="AW178" s="1670"/>
      <c r="AX178" s="1670"/>
      <c r="AY178" s="1670"/>
      <c r="AZ178" s="1670"/>
      <c r="BA178" s="1670"/>
      <c r="BB178" s="1670"/>
      <c r="BC178" s="1670"/>
      <c r="BD178" s="1670"/>
      <c r="BE178" s="1670"/>
      <c r="BF178" s="1670"/>
      <c r="BG178" s="1670"/>
      <c r="BH178" s="1670"/>
      <c r="BI178" s="1670"/>
      <c r="BJ178" s="1670"/>
      <c r="BK178" s="1670"/>
      <c r="BL178" s="1670"/>
      <c r="BM178" s="1670"/>
      <c r="BN178" s="1670"/>
      <c r="BO178" s="1674"/>
      <c r="BP178" s="1675"/>
      <c r="BQ178" s="1675"/>
      <c r="BR178" s="1676"/>
      <c r="BS178" s="1675"/>
      <c r="BT178" s="1677"/>
      <c r="BU178" s="1677"/>
      <c r="BV178" s="1678"/>
      <c r="BY178" s="103"/>
      <c r="BZ178" s="104"/>
      <c r="CA178" s="105"/>
      <c r="CB178" s="1"/>
      <c r="CC178" s="268"/>
      <c r="CD178" s="216"/>
      <c r="CE178" s="1"/>
      <c r="CK178" s="1315"/>
      <c r="CL178" s="1315"/>
      <c r="CM178" s="1315"/>
      <c r="CN178" s="1315"/>
      <c r="CO178" s="1315"/>
      <c r="CP178" s="1315"/>
      <c r="CQ178" s="1315"/>
      <c r="CR178" s="1315"/>
      <c r="CS178" s="1315"/>
      <c r="CT178" s="1315"/>
      <c r="CU178" s="602"/>
    </row>
    <row r="179" spans="1:99" ht="24.75" customHeight="1">
      <c r="A179" s="1605"/>
      <c r="B179" s="1605"/>
      <c r="C179" s="1605"/>
      <c r="D179" s="1605"/>
      <c r="E179" s="1605"/>
      <c r="F179" s="1632"/>
      <c r="G179" s="1605"/>
      <c r="H179" s="1605"/>
      <c r="I179" s="1605"/>
      <c r="J179" s="1605"/>
      <c r="K179" s="1605"/>
      <c r="L179" s="1605"/>
      <c r="M179" s="1336"/>
      <c r="N179" s="1605"/>
      <c r="O179" s="1605"/>
      <c r="P179" s="1605"/>
      <c r="Q179" s="1605"/>
      <c r="S179" s="4"/>
      <c r="AE179" s="696"/>
      <c r="AF179" s="697"/>
      <c r="AG179" s="972"/>
      <c r="AH179" s="698"/>
      <c r="AI179" s="696"/>
      <c r="AJ179" s="696"/>
      <c r="AK179" s="697"/>
      <c r="AL179" s="697"/>
      <c r="AM179" s="203"/>
      <c r="AN179" s="203"/>
      <c r="AO179" s="203"/>
      <c r="AP179" s="203"/>
      <c r="AQ179" s="203"/>
      <c r="AR179" s="203"/>
      <c r="AS179" s="203"/>
      <c r="AT179" s="203"/>
      <c r="AU179" s="203"/>
      <c r="AV179" s="203"/>
      <c r="AW179" s="203"/>
      <c r="AX179" s="203"/>
      <c r="AY179" s="203"/>
      <c r="AZ179" s="203"/>
      <c r="BA179" s="203"/>
      <c r="BB179" s="203"/>
      <c r="BC179" s="970"/>
      <c r="BD179" s="970"/>
      <c r="BE179" s="970"/>
      <c r="BF179" s="970"/>
      <c r="BG179" s="970"/>
      <c r="BH179" s="970"/>
      <c r="BI179" s="970"/>
      <c r="BJ179" s="970"/>
      <c r="BK179" s="970"/>
      <c r="BL179" s="970"/>
      <c r="BM179" s="970"/>
      <c r="BN179" s="970"/>
      <c r="BO179" s="1639"/>
      <c r="BP179" s="970"/>
      <c r="BQ179" s="970"/>
      <c r="CB179" s="1"/>
      <c r="CC179" s="268"/>
      <c r="CD179" s="216"/>
      <c r="CE179" s="1"/>
      <c r="CK179" s="1315"/>
      <c r="CL179" s="1315"/>
      <c r="CM179" s="1315"/>
      <c r="CN179" s="1315"/>
      <c r="CO179" s="1315"/>
      <c r="CP179" s="1315"/>
      <c r="CQ179" s="1315"/>
      <c r="CR179" s="1315"/>
      <c r="CS179" s="1315"/>
      <c r="CT179" s="1315"/>
      <c r="CU179" s="602"/>
    </row>
    <row r="180" spans="1:99" ht="24.75" customHeight="1">
      <c r="A180" s="1605"/>
      <c r="B180" s="1605"/>
      <c r="C180" s="1605"/>
      <c r="D180" s="1605"/>
      <c r="E180" s="1605"/>
      <c r="F180" s="1632"/>
      <c r="G180" s="1605"/>
      <c r="H180" s="1605"/>
      <c r="I180" s="1605"/>
      <c r="J180" s="1605"/>
      <c r="K180" s="1605"/>
      <c r="L180" s="1683"/>
      <c r="M180" s="1683"/>
      <c r="N180" s="1605"/>
      <c r="O180" s="1605"/>
      <c r="P180" s="1605"/>
      <c r="Q180" s="1605"/>
      <c r="AE180" s="696"/>
      <c r="AF180" s="697"/>
      <c r="AG180" s="697"/>
      <c r="AH180" s="698"/>
      <c r="AI180" s="696"/>
      <c r="AJ180" s="696"/>
      <c r="AK180" s="697"/>
      <c r="AL180" s="697"/>
      <c r="AM180" s="203"/>
      <c r="AN180" s="203"/>
      <c r="AO180" s="203"/>
      <c r="AP180" s="203"/>
      <c r="AQ180" s="203"/>
      <c r="AR180" s="203"/>
      <c r="AS180" s="203"/>
      <c r="AT180" s="203"/>
      <c r="AU180" s="203"/>
      <c r="AV180" s="203"/>
      <c r="AW180" s="203"/>
      <c r="AX180" s="203"/>
      <c r="AY180" s="203"/>
      <c r="AZ180" s="203"/>
      <c r="BA180" s="203"/>
      <c r="BB180" s="203"/>
      <c r="BC180" s="970"/>
      <c r="BD180" s="970"/>
      <c r="BE180" s="970"/>
      <c r="BF180" s="970"/>
      <c r="BG180" s="970"/>
      <c r="BH180" s="970"/>
      <c r="BI180" s="970"/>
      <c r="BJ180" s="970"/>
      <c r="BK180" s="970"/>
      <c r="BL180" s="970"/>
      <c r="BM180" s="970"/>
      <c r="BN180" s="970"/>
      <c r="BO180" s="1639"/>
      <c r="BP180" s="970"/>
      <c r="BQ180" s="970"/>
      <c r="CB180" s="1"/>
      <c r="CC180" s="268"/>
      <c r="CD180" s="216"/>
      <c r="CE180" s="1"/>
      <c r="CK180" s="1315"/>
      <c r="CL180" s="1315"/>
      <c r="CM180" s="1315"/>
      <c r="CN180" s="1315"/>
      <c r="CO180" s="1315"/>
      <c r="CP180" s="1315"/>
      <c r="CQ180" s="1315"/>
      <c r="CR180" s="1315"/>
      <c r="CS180" s="1315"/>
      <c r="CT180" s="1315"/>
      <c r="CU180" s="602"/>
    </row>
    <row r="181" spans="1:99" ht="24.75" customHeight="1">
      <c r="A181" s="1605"/>
      <c r="D181" s="1605"/>
      <c r="L181" s="4"/>
      <c r="M181" s="1683"/>
      <c r="AE181" s="696"/>
      <c r="AF181" s="697"/>
      <c r="AG181" s="697"/>
      <c r="AH181" s="698"/>
      <c r="AI181" s="696"/>
      <c r="AJ181" s="696"/>
      <c r="AK181" s="697"/>
      <c r="AL181" s="697"/>
      <c r="AM181" s="203"/>
      <c r="AN181" s="203"/>
      <c r="AO181" s="203"/>
      <c r="AP181" s="203"/>
      <c r="AQ181" s="203"/>
      <c r="AR181" s="203"/>
      <c r="AS181" s="203"/>
      <c r="AT181" s="203"/>
      <c r="AU181" s="203"/>
      <c r="AV181" s="203"/>
      <c r="AW181" s="203"/>
      <c r="AX181" s="203"/>
      <c r="AY181" s="203"/>
      <c r="AZ181" s="203"/>
      <c r="BA181" s="203"/>
      <c r="BB181" s="203"/>
      <c r="BC181" s="970"/>
      <c r="BD181" s="970"/>
      <c r="BE181" s="970"/>
      <c r="BF181" s="970"/>
      <c r="BG181" s="970"/>
      <c r="BH181" s="970"/>
      <c r="BI181" s="970"/>
      <c r="BJ181" s="970"/>
      <c r="BK181" s="970"/>
      <c r="BL181" s="970"/>
      <c r="BM181" s="970"/>
      <c r="BN181" s="970"/>
      <c r="BO181" s="1639"/>
      <c r="BP181" s="970"/>
      <c r="BQ181" s="970"/>
      <c r="CF181"/>
      <c r="CK181" s="1315"/>
      <c r="CL181" s="1315"/>
      <c r="CM181" s="1315"/>
      <c r="CN181" s="1315"/>
      <c r="CO181" s="1315"/>
      <c r="CP181" s="1315"/>
      <c r="CQ181" s="1315"/>
      <c r="CR181" s="1315"/>
      <c r="CS181" s="1315"/>
      <c r="CT181" s="1315"/>
      <c r="CU181" s="602"/>
    </row>
    <row r="182" spans="1:99" ht="24.75" customHeight="1">
      <c r="A182" s="1605"/>
      <c r="D182" s="1605"/>
      <c r="M182" s="1683"/>
      <c r="CF182"/>
      <c r="CK182" s="1315"/>
      <c r="CL182" s="1315"/>
      <c r="CM182" s="1315"/>
      <c r="CN182" s="1315"/>
      <c r="CO182" s="1315"/>
      <c r="CP182" s="1315"/>
      <c r="CQ182" s="1315"/>
      <c r="CR182" s="1315"/>
      <c r="CS182" s="1315"/>
      <c r="CT182" s="1315"/>
      <c r="CU182" s="602"/>
    </row>
    <row r="183" spans="1:99" ht="24.75" customHeight="1">
      <c r="A183" s="1605"/>
      <c r="H183" s="4"/>
      <c r="BC183" s="379"/>
      <c r="BD183" s="379"/>
      <c r="BE183" s="379"/>
      <c r="BF183" s="379"/>
      <c r="BG183" s="379"/>
      <c r="BH183" s="379"/>
      <c r="BI183" s="379"/>
      <c r="BJ183" s="379"/>
      <c r="BK183" s="379"/>
      <c r="BL183" s="379"/>
      <c r="BM183" s="379"/>
      <c r="CK183" s="1315"/>
      <c r="CL183" s="1315"/>
      <c r="CM183" s="1315"/>
      <c r="CN183" s="1315"/>
      <c r="CO183" s="1315"/>
      <c r="CP183" s="1315"/>
      <c r="CQ183" s="1315"/>
      <c r="CR183" s="1315"/>
      <c r="CS183" s="1315"/>
      <c r="CT183" s="1315"/>
      <c r="CU183" s="602"/>
    </row>
    <row r="184" spans="1:99" ht="24.75" customHeight="1">
      <c r="H184" s="4"/>
      <c r="BC184" s="379"/>
      <c r="BD184" s="379"/>
      <c r="BE184" s="379"/>
      <c r="BF184" s="379"/>
      <c r="BG184" s="379"/>
      <c r="BH184" s="379"/>
      <c r="BI184" s="379"/>
      <c r="BJ184" s="379"/>
      <c r="BK184" s="379"/>
      <c r="BL184" s="379"/>
      <c r="BM184" s="379"/>
      <c r="BN184" s="379"/>
      <c r="CK184" s="1315"/>
      <c r="CL184" s="1315"/>
      <c r="CM184" s="1315"/>
      <c r="CN184" s="1315"/>
      <c r="CO184" s="1315"/>
      <c r="CP184" s="1315"/>
      <c r="CQ184" s="1315"/>
      <c r="CR184" s="1315"/>
      <c r="CS184" s="1315"/>
      <c r="CT184" s="1315"/>
      <c r="CU184" s="602"/>
    </row>
    <row r="185" spans="1:99" ht="24.75" customHeight="1">
      <c r="H185" s="4"/>
      <c r="BC185" s="379"/>
      <c r="BD185" s="379"/>
      <c r="BE185" s="379"/>
      <c r="BF185" s="379"/>
      <c r="BG185" s="379"/>
      <c r="BH185" s="379"/>
      <c r="BI185" s="379"/>
      <c r="BJ185" s="379"/>
      <c r="BK185" s="379"/>
      <c r="BL185" s="379"/>
      <c r="BM185" s="379"/>
      <c r="BN185" s="379"/>
      <c r="CK185" s="1315"/>
      <c r="CL185" s="1315"/>
      <c r="CM185" s="1315"/>
      <c r="CN185" s="1315"/>
      <c r="CO185" s="1315"/>
      <c r="CP185" s="1315"/>
      <c r="CQ185" s="1315"/>
      <c r="CR185" s="1315"/>
      <c r="CS185" s="1315"/>
      <c r="CT185" s="1315"/>
      <c r="CU185" s="602"/>
    </row>
    <row r="186" spans="1:99" ht="24.75" customHeight="1">
      <c r="BC186" s="379"/>
      <c r="BD186" s="379"/>
      <c r="BE186" s="379"/>
      <c r="BF186" s="379"/>
      <c r="BG186" s="379"/>
      <c r="BH186" s="379"/>
      <c r="BI186" s="379"/>
      <c r="BJ186" s="379"/>
      <c r="BK186" s="379"/>
      <c r="BL186" s="379"/>
      <c r="BM186" s="379"/>
      <c r="BN186" s="379"/>
      <c r="CK186" s="1315"/>
      <c r="CL186" s="1315"/>
      <c r="CM186" s="1315"/>
      <c r="CN186" s="1315"/>
      <c r="CO186" s="1315"/>
      <c r="CP186" s="1315"/>
      <c r="CQ186" s="1315"/>
      <c r="CR186" s="1315"/>
      <c r="CS186" s="1315"/>
      <c r="CT186" s="1315"/>
      <c r="CU186" s="602"/>
    </row>
    <row r="187" spans="1:99" ht="24.75" customHeight="1">
      <c r="BC187" s="379"/>
      <c r="BD187" s="379"/>
      <c r="BE187" s="379"/>
      <c r="BF187" s="379"/>
      <c r="BG187" s="379"/>
      <c r="BH187" s="379"/>
      <c r="BI187" s="379"/>
      <c r="BJ187" s="379"/>
      <c r="BK187" s="379"/>
      <c r="BL187" s="379"/>
      <c r="BM187" s="379"/>
      <c r="BN187" s="379"/>
      <c r="CK187" s="1315"/>
      <c r="CL187" s="1315"/>
      <c r="CM187" s="1315"/>
      <c r="CN187" s="1315"/>
      <c r="CO187" s="1315"/>
      <c r="CP187" s="1315"/>
      <c r="CQ187" s="1315"/>
      <c r="CR187" s="1315"/>
      <c r="CS187" s="1315"/>
      <c r="CT187" s="1315"/>
      <c r="CU187" s="602"/>
    </row>
    <row r="188" spans="1:99" ht="24.75" customHeight="1">
      <c r="BC188" s="379"/>
      <c r="BD188" s="379"/>
      <c r="BE188" s="379"/>
      <c r="BF188" s="379"/>
      <c r="BG188" s="379"/>
      <c r="BH188" s="379"/>
      <c r="BI188" s="379"/>
      <c r="BJ188" s="379"/>
      <c r="BK188" s="379"/>
      <c r="BL188" s="379"/>
      <c r="BM188" s="379"/>
      <c r="BN188" s="379"/>
      <c r="CK188" s="1315"/>
      <c r="CL188" s="1315"/>
      <c r="CM188" s="1315"/>
      <c r="CN188" s="1315"/>
      <c r="CO188" s="1315"/>
      <c r="CP188" s="1315"/>
      <c r="CQ188" s="1315"/>
      <c r="CR188" s="1315"/>
      <c r="CS188" s="1315"/>
      <c r="CT188" s="1315"/>
      <c r="CU188" s="602"/>
    </row>
    <row r="189" spans="1:99" ht="24.75" customHeight="1">
      <c r="BC189" s="379"/>
      <c r="BD189" s="379"/>
      <c r="BE189" s="379"/>
      <c r="BF189" s="379"/>
      <c r="BG189" s="379"/>
      <c r="BH189" s="379"/>
      <c r="BI189" s="379"/>
      <c r="BJ189" s="379"/>
      <c r="BK189" s="379"/>
      <c r="BL189" s="379"/>
      <c r="BM189" s="379"/>
      <c r="BN189" s="379"/>
      <c r="CK189" s="1315"/>
      <c r="CL189" s="1315"/>
      <c r="CM189" s="1315"/>
      <c r="CN189" s="1315"/>
      <c r="CO189" s="1315"/>
      <c r="CP189" s="1315"/>
      <c r="CQ189" s="1315"/>
      <c r="CR189" s="1315"/>
      <c r="CS189" s="1315"/>
      <c r="CT189" s="1315"/>
      <c r="CU189" s="602"/>
    </row>
    <row r="190" spans="1:99" ht="24.75" customHeight="1">
      <c r="BC190" s="379"/>
      <c r="BD190" s="379"/>
      <c r="BE190" s="379"/>
      <c r="BF190" s="379"/>
      <c r="BG190" s="379"/>
      <c r="BH190" s="379"/>
      <c r="BI190" s="379"/>
      <c r="BJ190" s="379"/>
      <c r="BK190" s="379"/>
      <c r="BL190" s="379"/>
      <c r="BM190" s="379"/>
      <c r="BN190" s="379"/>
      <c r="CK190" s="1315"/>
      <c r="CL190" s="1315"/>
      <c r="CM190" s="1315"/>
      <c r="CN190" s="1315"/>
      <c r="CO190" s="1315"/>
      <c r="CP190" s="1315"/>
      <c r="CQ190" s="1315"/>
      <c r="CR190" s="1315"/>
      <c r="CS190" s="1315"/>
      <c r="CT190" s="1315"/>
      <c r="CU190" s="602"/>
    </row>
    <row r="191" spans="1:99" ht="24.75" customHeight="1">
      <c r="BC191" s="379"/>
      <c r="BD191" s="379"/>
      <c r="BE191" s="379"/>
      <c r="BF191" s="379"/>
      <c r="BG191" s="379"/>
      <c r="BH191" s="379"/>
      <c r="BI191" s="379"/>
      <c r="BJ191" s="379"/>
      <c r="BK191" s="379"/>
      <c r="BL191" s="379"/>
      <c r="BM191" s="379"/>
      <c r="BN191" s="379"/>
      <c r="CK191" s="1315"/>
      <c r="CL191" s="1315"/>
      <c r="CM191" s="1315"/>
      <c r="CN191" s="1315"/>
      <c r="CO191" s="1315"/>
      <c r="CP191" s="1315"/>
      <c r="CQ191" s="1315"/>
      <c r="CR191" s="1315"/>
      <c r="CS191" s="1315"/>
      <c r="CT191" s="1315"/>
      <c r="CU191" s="602"/>
    </row>
    <row r="192" spans="1:99" ht="24.75" customHeight="1">
      <c r="BC192" s="379"/>
      <c r="BD192" s="379"/>
      <c r="BE192" s="379"/>
      <c r="BF192" s="379"/>
      <c r="BG192" s="379"/>
      <c r="BH192" s="379"/>
      <c r="BI192" s="379"/>
      <c r="BJ192" s="379"/>
      <c r="BK192" s="379"/>
      <c r="BL192" s="379"/>
      <c r="BM192" s="379"/>
      <c r="BN192" s="379"/>
      <c r="CK192" s="1315"/>
      <c r="CL192" s="1315"/>
      <c r="CM192" s="1315"/>
      <c r="CN192" s="1315"/>
      <c r="CO192" s="1315"/>
      <c r="CP192" s="1315"/>
      <c r="CQ192" s="1315"/>
      <c r="CR192" s="1315"/>
      <c r="CS192" s="1315"/>
      <c r="CT192" s="1315"/>
      <c r="CU192" s="602"/>
    </row>
    <row r="193" spans="50:99" ht="24.75" customHeight="1">
      <c r="BC193" s="379"/>
      <c r="BD193" s="379"/>
      <c r="BE193" s="379"/>
      <c r="BF193" s="379"/>
      <c r="BG193" s="379"/>
      <c r="BH193" s="379"/>
      <c r="BI193" s="379"/>
      <c r="BJ193" s="379"/>
      <c r="BK193" s="379"/>
      <c r="BL193" s="379"/>
      <c r="BM193" s="379"/>
      <c r="BN193" s="379"/>
      <c r="CK193" s="1315"/>
      <c r="CL193" s="1315"/>
      <c r="CM193" s="1315"/>
      <c r="CN193" s="1315"/>
      <c r="CO193" s="1315"/>
      <c r="CP193" s="1315"/>
      <c r="CQ193" s="1315"/>
      <c r="CR193" s="1315"/>
      <c r="CS193" s="1315"/>
      <c r="CT193" s="1315"/>
      <c r="CU193" s="602"/>
    </row>
    <row r="194" spans="50:99" ht="24.75" customHeight="1">
      <c r="BC194" s="379"/>
      <c r="BD194" s="379"/>
      <c r="BE194" s="379"/>
      <c r="BF194" s="379"/>
      <c r="BG194" s="379"/>
      <c r="BH194" s="379"/>
      <c r="BI194" s="379"/>
      <c r="BJ194" s="379"/>
      <c r="BK194" s="379"/>
      <c r="BL194" s="379"/>
      <c r="BM194" s="379"/>
      <c r="BN194" s="379"/>
      <c r="CK194" s="1315"/>
      <c r="CL194" s="1315"/>
      <c r="CM194" s="1315"/>
      <c r="CN194" s="1315"/>
      <c r="CO194" s="1315"/>
      <c r="CP194" s="1315"/>
      <c r="CQ194" s="1315"/>
      <c r="CR194" s="1315"/>
      <c r="CS194" s="1315"/>
      <c r="CT194" s="1315"/>
      <c r="CU194" s="602"/>
    </row>
    <row r="195" spans="50:99" ht="24.75" customHeight="1">
      <c r="BC195" s="379"/>
      <c r="BD195" s="379"/>
      <c r="BE195" s="379"/>
      <c r="BF195" s="379"/>
      <c r="BG195" s="379"/>
      <c r="BH195" s="379"/>
      <c r="BI195" s="379"/>
      <c r="BJ195" s="379"/>
      <c r="BK195" s="379"/>
      <c r="BL195" s="379"/>
      <c r="BM195" s="379"/>
      <c r="BN195" s="379"/>
      <c r="CK195" s="1315"/>
      <c r="CL195" s="1315"/>
      <c r="CM195" s="1315"/>
      <c r="CN195" s="1315"/>
      <c r="CO195" s="1315"/>
      <c r="CP195" s="1315"/>
      <c r="CQ195" s="1315"/>
      <c r="CR195" s="1315"/>
      <c r="CS195" s="1315"/>
      <c r="CT195" s="1315"/>
      <c r="CU195" s="602"/>
    </row>
    <row r="196" spans="50:99" ht="24.75" customHeight="1">
      <c r="BC196" s="379"/>
      <c r="BD196" s="379"/>
      <c r="BE196" s="379"/>
      <c r="BF196" s="379"/>
      <c r="BG196" s="379"/>
      <c r="BH196" s="379"/>
      <c r="BI196" s="379"/>
      <c r="BJ196" s="379"/>
      <c r="BK196" s="379"/>
      <c r="BL196" s="379"/>
      <c r="BM196" s="379"/>
      <c r="BN196" s="379"/>
      <c r="CK196" s="1315"/>
      <c r="CL196" s="1315"/>
      <c r="CM196" s="1315"/>
      <c r="CN196" s="1315"/>
      <c r="CO196" s="1315"/>
      <c r="CP196" s="1315"/>
      <c r="CQ196" s="1315"/>
      <c r="CR196" s="1315"/>
      <c r="CS196" s="1315"/>
      <c r="CT196" s="1315"/>
      <c r="CU196" s="602"/>
    </row>
    <row r="197" spans="50:99" ht="24.75" customHeight="1">
      <c r="BC197" s="379"/>
      <c r="BD197" s="379"/>
      <c r="BE197" s="379"/>
      <c r="BF197" s="379"/>
      <c r="BG197" s="379"/>
      <c r="BH197" s="379"/>
      <c r="BI197" s="379"/>
      <c r="BJ197" s="379"/>
      <c r="BK197" s="379"/>
      <c r="BL197" s="379"/>
      <c r="BM197" s="379"/>
      <c r="BN197" s="379"/>
      <c r="CK197" s="1315"/>
      <c r="CL197" s="1315"/>
      <c r="CM197" s="1315"/>
      <c r="CN197" s="1315"/>
      <c r="CO197" s="1315"/>
      <c r="CP197" s="1315"/>
      <c r="CQ197" s="1315"/>
      <c r="CR197" s="1315"/>
      <c r="CS197" s="1315"/>
      <c r="CT197" s="1315"/>
      <c r="CU197" s="602"/>
    </row>
    <row r="198" spans="50:99" ht="24.75" customHeight="1">
      <c r="BC198" s="379"/>
      <c r="BD198" s="379"/>
      <c r="BE198" s="379"/>
      <c r="BF198" s="379"/>
      <c r="BG198" s="379"/>
      <c r="BH198" s="379"/>
      <c r="BI198" s="379"/>
      <c r="BJ198" s="379"/>
      <c r="BK198" s="379"/>
      <c r="BL198" s="379"/>
      <c r="BM198" s="379"/>
      <c r="BN198" s="379"/>
      <c r="CK198" s="1315"/>
      <c r="CL198" s="1315"/>
      <c r="CM198" s="1315"/>
      <c r="CN198" s="1315"/>
      <c r="CO198" s="1315"/>
      <c r="CP198" s="1315"/>
      <c r="CQ198" s="1315"/>
      <c r="CR198" s="1315"/>
      <c r="CS198" s="1315"/>
      <c r="CT198" s="1315"/>
      <c r="CU198" s="602"/>
    </row>
    <row r="199" spans="50:99" ht="24.75" customHeight="1">
      <c r="BC199" s="379"/>
      <c r="BD199" s="379"/>
      <c r="BE199" s="379"/>
      <c r="BF199" s="379"/>
      <c r="BG199" s="379"/>
      <c r="BH199" s="379"/>
      <c r="BI199" s="379"/>
      <c r="BJ199" s="379"/>
      <c r="BK199" s="379"/>
      <c r="BL199" s="379"/>
      <c r="BM199" s="379"/>
      <c r="BN199" s="379"/>
      <c r="CK199" s="1315"/>
      <c r="CL199" s="1315"/>
      <c r="CM199" s="1315"/>
      <c r="CN199" s="1315"/>
      <c r="CO199" s="1315"/>
      <c r="CP199" s="1315"/>
      <c r="CQ199" s="1315"/>
      <c r="CR199" s="1315"/>
      <c r="CS199" s="1315"/>
      <c r="CT199" s="1315"/>
      <c r="CU199" s="602"/>
    </row>
    <row r="200" spans="50:99" ht="24.75" customHeight="1">
      <c r="BC200" s="379"/>
      <c r="BD200" s="379"/>
      <c r="BE200" s="379"/>
      <c r="BF200" s="379"/>
      <c r="BG200" s="379"/>
      <c r="BH200" s="379"/>
      <c r="BI200" s="379"/>
      <c r="BJ200" s="379"/>
      <c r="BK200" s="379"/>
      <c r="BL200" s="379"/>
      <c r="BM200" s="379"/>
      <c r="BN200" s="379"/>
      <c r="CK200" s="1315"/>
      <c r="CL200" s="1315"/>
      <c r="CM200" s="1315"/>
      <c r="CN200" s="1315"/>
      <c r="CO200" s="1315"/>
      <c r="CP200" s="1315"/>
      <c r="CQ200" s="1315"/>
      <c r="CR200" s="1315"/>
      <c r="CS200" s="1315"/>
      <c r="CT200" s="1315"/>
      <c r="CU200" s="602"/>
    </row>
    <row r="201" spans="50:99" ht="24.75" customHeight="1">
      <c r="AX201" s="1605"/>
      <c r="AY201" s="1605"/>
      <c r="AZ201" s="1605"/>
      <c r="BA201" s="1605"/>
      <c r="BB201" s="1605"/>
      <c r="BC201" s="379"/>
      <c r="BD201" s="379"/>
      <c r="BE201" s="379"/>
      <c r="BF201" s="379"/>
      <c r="BG201" s="379"/>
      <c r="BH201" s="379"/>
      <c r="BI201" s="379"/>
      <c r="BJ201" s="379"/>
      <c r="BK201" s="379"/>
      <c r="BL201" s="379"/>
      <c r="BM201" s="379"/>
      <c r="BN201" s="379"/>
      <c r="CK201" s="1315"/>
      <c r="CL201" s="1315"/>
      <c r="CM201" s="1315"/>
      <c r="CN201" s="1315"/>
      <c r="CO201" s="1315"/>
      <c r="CP201" s="1315"/>
      <c r="CQ201" s="1315"/>
      <c r="CR201" s="1315"/>
      <c r="CS201" s="1315"/>
      <c r="CT201" s="1315"/>
      <c r="CU201" s="602"/>
    </row>
    <row r="202" spans="50:99" ht="24.75" customHeight="1">
      <c r="BC202" s="379"/>
      <c r="BD202" s="379"/>
      <c r="BE202" s="379"/>
      <c r="BF202" s="379"/>
      <c r="BG202" s="379"/>
      <c r="BH202" s="379"/>
      <c r="BI202" s="379"/>
      <c r="BJ202" s="379"/>
      <c r="BK202" s="379"/>
      <c r="BL202" s="379"/>
      <c r="BM202" s="379"/>
      <c r="BN202" s="379"/>
      <c r="CK202" s="1315"/>
      <c r="CL202" s="1315"/>
      <c r="CM202" s="1315"/>
      <c r="CN202" s="1315"/>
      <c r="CO202" s="1315"/>
      <c r="CP202" s="1315"/>
      <c r="CQ202" s="1315"/>
      <c r="CR202" s="1315"/>
      <c r="CS202" s="1315"/>
      <c r="CT202" s="1315"/>
      <c r="CU202" s="602"/>
    </row>
    <row r="203" spans="50:99" ht="24.75" customHeight="1">
      <c r="BC203" s="379"/>
      <c r="BD203" s="379"/>
      <c r="BE203" s="379"/>
      <c r="BF203" s="379"/>
      <c r="BG203" s="379"/>
      <c r="BH203" s="379"/>
      <c r="BI203" s="379"/>
      <c r="BJ203" s="379"/>
      <c r="BK203" s="379"/>
      <c r="BL203" s="379"/>
      <c r="BM203" s="379"/>
      <c r="BN203" s="379"/>
      <c r="CK203" s="1315"/>
      <c r="CL203" s="1315"/>
      <c r="CM203" s="1315"/>
      <c r="CN203" s="1315"/>
      <c r="CO203" s="1315"/>
      <c r="CP203" s="1315"/>
      <c r="CQ203" s="1315"/>
      <c r="CR203" s="1315"/>
      <c r="CS203" s="1315"/>
      <c r="CT203" s="1315"/>
      <c r="CU203" s="602"/>
    </row>
    <row r="204" spans="50:99" ht="24.75" customHeight="1">
      <c r="BC204" s="379"/>
      <c r="BD204" s="379"/>
      <c r="BE204" s="379"/>
      <c r="BF204" s="379"/>
      <c r="BG204" s="379"/>
      <c r="BH204" s="379"/>
      <c r="BI204" s="379"/>
      <c r="BJ204" s="379"/>
      <c r="BK204" s="379"/>
      <c r="BL204" s="379"/>
      <c r="BM204" s="379"/>
      <c r="BN204" s="379"/>
      <c r="CK204" s="1315"/>
      <c r="CL204" s="1315"/>
      <c r="CM204" s="1315"/>
      <c r="CN204" s="1315"/>
      <c r="CO204" s="1315"/>
      <c r="CP204" s="1315"/>
      <c r="CQ204" s="1315"/>
      <c r="CR204" s="1315"/>
      <c r="CS204" s="1315"/>
      <c r="CT204" s="1315"/>
      <c r="CU204" s="602"/>
    </row>
    <row r="205" spans="50:99" ht="24.75" customHeight="1">
      <c r="BC205" s="379"/>
      <c r="BD205" s="379"/>
      <c r="BE205" s="379"/>
      <c r="BF205" s="379"/>
      <c r="BG205" s="379"/>
      <c r="BH205" s="379"/>
      <c r="BI205" s="379"/>
      <c r="BJ205" s="379"/>
      <c r="BK205" s="379"/>
      <c r="BL205" s="379"/>
      <c r="BM205" s="379"/>
      <c r="BN205" s="379"/>
      <c r="CK205" s="1315"/>
      <c r="CL205" s="1315"/>
      <c r="CM205" s="1315"/>
      <c r="CN205" s="1315"/>
      <c r="CO205" s="1315"/>
      <c r="CP205" s="1315"/>
      <c r="CQ205" s="1315"/>
      <c r="CR205" s="1315"/>
      <c r="CS205" s="1315"/>
      <c r="CT205" s="1315"/>
      <c r="CU205" s="602"/>
    </row>
    <row r="206" spans="50:99" ht="24.75" customHeight="1">
      <c r="BC206" s="379"/>
      <c r="BD206" s="379"/>
      <c r="BE206" s="379"/>
      <c r="BF206" s="379"/>
      <c r="BG206" s="379"/>
      <c r="BH206" s="379"/>
      <c r="BI206" s="379"/>
      <c r="BJ206" s="379"/>
      <c r="BK206" s="379"/>
      <c r="BL206" s="379"/>
      <c r="BM206" s="379"/>
      <c r="BN206" s="379"/>
      <c r="CK206" s="1315"/>
      <c r="CL206" s="1315"/>
      <c r="CM206" s="1315"/>
      <c r="CN206" s="1315"/>
      <c r="CO206" s="1315"/>
      <c r="CP206" s="1315"/>
      <c r="CQ206" s="1315"/>
      <c r="CR206" s="1315"/>
      <c r="CS206" s="1315"/>
      <c r="CT206" s="1315"/>
      <c r="CU206" s="602"/>
    </row>
    <row r="207" spans="50:99" ht="24.75" customHeight="1">
      <c r="BC207" s="379"/>
      <c r="BD207" s="379"/>
      <c r="BE207" s="379"/>
      <c r="BF207" s="379"/>
      <c r="BG207" s="379"/>
      <c r="BH207" s="379"/>
      <c r="BI207" s="379"/>
      <c r="BJ207" s="379"/>
      <c r="BK207" s="379"/>
      <c r="BL207" s="379"/>
      <c r="BM207" s="379"/>
      <c r="BN207" s="379"/>
      <c r="CK207" s="1315"/>
      <c r="CL207" s="1315"/>
      <c r="CM207" s="1315"/>
      <c r="CN207" s="1315"/>
      <c r="CO207" s="1315"/>
      <c r="CP207" s="1315"/>
      <c r="CQ207" s="1315"/>
      <c r="CR207" s="1315"/>
      <c r="CS207" s="1315"/>
      <c r="CT207" s="1315"/>
      <c r="CU207" s="602"/>
    </row>
    <row r="208" spans="50:99" ht="24.75" customHeight="1">
      <c r="BC208" s="379"/>
      <c r="BD208" s="379"/>
      <c r="BE208" s="379"/>
      <c r="BF208" s="379"/>
      <c r="BG208" s="379"/>
      <c r="BH208" s="379"/>
      <c r="BI208" s="379"/>
      <c r="BJ208" s="379"/>
      <c r="BK208" s="379"/>
      <c r="BL208" s="379"/>
      <c r="BM208" s="379"/>
      <c r="BN208" s="379"/>
    </row>
    <row r="209" spans="55:66" ht="24.75" customHeight="1">
      <c r="BC209" s="379"/>
      <c r="BD209" s="379"/>
      <c r="BE209" s="379"/>
      <c r="BF209" s="379"/>
      <c r="BG209" s="379"/>
      <c r="BH209" s="379"/>
      <c r="BI209" s="379"/>
      <c r="BJ209" s="379"/>
      <c r="BK209" s="379"/>
      <c r="BL209" s="379"/>
      <c r="BM209" s="379"/>
      <c r="BN209" s="379"/>
    </row>
    <row r="210" spans="55:66" ht="24.75" customHeight="1">
      <c r="BC210" s="379"/>
      <c r="BD210" s="379"/>
      <c r="BE210" s="379"/>
      <c r="BF210" s="379"/>
      <c r="BG210" s="379"/>
      <c r="BH210" s="379"/>
      <c r="BI210" s="379"/>
      <c r="BJ210" s="379"/>
      <c r="BK210" s="379"/>
      <c r="BL210" s="379"/>
      <c r="BM210" s="379"/>
      <c r="BN210" s="379"/>
    </row>
    <row r="211" spans="55:66" ht="24.75" customHeight="1">
      <c r="BC211" s="379"/>
      <c r="BD211" s="379"/>
      <c r="BE211" s="379"/>
      <c r="BF211" s="379"/>
      <c r="BG211" s="379"/>
      <c r="BH211" s="379"/>
      <c r="BI211" s="379"/>
      <c r="BJ211" s="379"/>
      <c r="BK211" s="379"/>
      <c r="BL211" s="379"/>
      <c r="BM211" s="379"/>
      <c r="BN211" s="379"/>
    </row>
    <row r="212" spans="55:66" ht="24.75" customHeight="1">
      <c r="BC212" s="379"/>
      <c r="BD212" s="379"/>
      <c r="BE212" s="379"/>
      <c r="BF212" s="379"/>
      <c r="BG212" s="379"/>
      <c r="BH212" s="379"/>
      <c r="BI212" s="379"/>
      <c r="BJ212" s="379"/>
      <c r="BK212" s="379"/>
      <c r="BL212" s="379"/>
      <c r="BM212" s="379"/>
      <c r="BN212" s="379"/>
    </row>
    <row r="213" spans="55:66" ht="24.75" customHeight="1">
      <c r="BC213" s="379"/>
      <c r="BD213" s="379"/>
      <c r="BE213" s="379"/>
      <c r="BF213" s="379"/>
      <c r="BG213" s="379"/>
      <c r="BH213" s="379"/>
      <c r="BI213" s="379"/>
      <c r="BJ213" s="379"/>
      <c r="BK213" s="379"/>
      <c r="BL213" s="379"/>
      <c r="BM213" s="379"/>
      <c r="BN213" s="379"/>
    </row>
    <row r="214" spans="55:66" ht="24.75" customHeight="1">
      <c r="BC214" s="379"/>
      <c r="BD214" s="379"/>
      <c r="BE214" s="379"/>
      <c r="BF214" s="379"/>
      <c r="BG214" s="379"/>
      <c r="BH214" s="379"/>
      <c r="BI214" s="379"/>
      <c r="BJ214" s="379"/>
      <c r="BK214" s="379"/>
      <c r="BL214" s="379"/>
      <c r="BM214" s="379"/>
      <c r="BN214" s="379"/>
    </row>
    <row r="215" spans="55:66" ht="24.75" customHeight="1">
      <c r="BC215" s="379"/>
      <c r="BD215" s="379"/>
      <c r="BE215" s="379"/>
      <c r="BF215" s="379"/>
      <c r="BG215" s="379"/>
      <c r="BH215" s="379"/>
      <c r="BI215" s="379"/>
      <c r="BJ215" s="379"/>
      <c r="BK215" s="379"/>
      <c r="BL215" s="379"/>
      <c r="BM215" s="379"/>
      <c r="BN215" s="379"/>
    </row>
    <row r="216" spans="55:66" ht="24.75" customHeight="1">
      <c r="BC216" s="379"/>
      <c r="BD216" s="379"/>
      <c r="BE216" s="379"/>
      <c r="BF216" s="379"/>
      <c r="BG216" s="379"/>
      <c r="BH216" s="379"/>
      <c r="BI216" s="379"/>
      <c r="BJ216" s="379"/>
      <c r="BK216" s="379"/>
      <c r="BL216" s="379"/>
      <c r="BM216" s="379"/>
      <c r="BN216" s="379"/>
    </row>
    <row r="217" spans="55:66" ht="24.75" customHeight="1">
      <c r="BC217" s="379"/>
      <c r="BD217" s="379"/>
      <c r="BE217" s="379"/>
      <c r="BF217" s="379"/>
      <c r="BG217" s="379"/>
      <c r="BH217" s="379"/>
      <c r="BI217" s="379"/>
      <c r="BJ217" s="379"/>
      <c r="BK217" s="379"/>
      <c r="BL217" s="379"/>
      <c r="BM217" s="379"/>
      <c r="BN217" s="379"/>
    </row>
    <row r="218" spans="55:66" ht="24.75" customHeight="1">
      <c r="BC218" s="379"/>
      <c r="BD218" s="379"/>
      <c r="BE218" s="379"/>
      <c r="BF218" s="379"/>
      <c r="BG218" s="379"/>
      <c r="BH218" s="379"/>
      <c r="BI218" s="379"/>
      <c r="BJ218" s="379"/>
      <c r="BK218" s="379"/>
      <c r="BL218" s="379"/>
      <c r="BM218" s="379"/>
      <c r="BN218" s="379"/>
    </row>
    <row r="219" spans="55:66" ht="24.75" customHeight="1">
      <c r="BC219" s="379"/>
      <c r="BD219" s="379"/>
      <c r="BE219" s="379"/>
      <c r="BF219" s="379"/>
      <c r="BG219" s="379"/>
      <c r="BH219" s="379"/>
      <c r="BI219" s="379"/>
      <c r="BJ219" s="379"/>
      <c r="BK219" s="379"/>
      <c r="BL219" s="379"/>
      <c r="BM219" s="379"/>
      <c r="BN219" s="379"/>
    </row>
    <row r="220" spans="55:66" ht="24.75" customHeight="1">
      <c r="BC220" s="379"/>
      <c r="BD220" s="379"/>
      <c r="BE220" s="379"/>
      <c r="BF220" s="379"/>
      <c r="BG220" s="379"/>
      <c r="BH220" s="379"/>
      <c r="BI220" s="379"/>
      <c r="BJ220" s="379"/>
      <c r="BK220" s="379"/>
      <c r="BL220" s="379"/>
      <c r="BM220" s="379"/>
      <c r="BN220" s="379"/>
    </row>
    <row r="221" spans="55:66" ht="24.75" customHeight="1">
      <c r="BC221" s="379"/>
      <c r="BD221" s="379"/>
      <c r="BE221" s="379"/>
      <c r="BF221" s="379"/>
      <c r="BG221" s="379"/>
      <c r="BH221" s="379"/>
      <c r="BI221" s="379"/>
      <c r="BJ221" s="379"/>
      <c r="BK221" s="379"/>
      <c r="BL221" s="379"/>
      <c r="BM221" s="379"/>
      <c r="BN221" s="379"/>
    </row>
    <row r="222" spans="55:66" ht="24.75" customHeight="1">
      <c r="BC222" s="379"/>
      <c r="BD222" s="379"/>
      <c r="BE222" s="379"/>
      <c r="BF222" s="379"/>
      <c r="BG222" s="379"/>
      <c r="BH222" s="379"/>
      <c r="BI222" s="379"/>
      <c r="BJ222" s="379"/>
      <c r="BK222" s="379"/>
      <c r="BL222" s="379"/>
      <c r="BM222" s="379"/>
      <c r="BN222" s="379"/>
    </row>
    <row r="223" spans="55:66" ht="24.75" customHeight="1">
      <c r="BC223" s="379"/>
      <c r="BD223" s="379"/>
      <c r="BE223" s="379"/>
      <c r="BF223" s="379"/>
      <c r="BG223" s="379"/>
      <c r="BH223" s="379"/>
      <c r="BI223" s="379"/>
      <c r="BJ223" s="379"/>
      <c r="BK223" s="379"/>
      <c r="BL223" s="379"/>
      <c r="BM223" s="379"/>
      <c r="BN223" s="379"/>
    </row>
    <row r="224" spans="55:66" ht="24.75" customHeight="1">
      <c r="BC224" s="379"/>
      <c r="BD224" s="379"/>
      <c r="BE224" s="379"/>
      <c r="BF224" s="379"/>
      <c r="BG224" s="379"/>
      <c r="BH224" s="379"/>
      <c r="BI224" s="379"/>
      <c r="BJ224" s="379"/>
      <c r="BK224" s="379"/>
      <c r="BL224" s="379"/>
      <c r="BM224" s="379"/>
      <c r="BN224" s="379"/>
    </row>
    <row r="225" spans="55:66" ht="24.75" customHeight="1">
      <c r="BC225" s="379"/>
      <c r="BD225" s="379"/>
      <c r="BE225" s="379"/>
      <c r="BF225" s="379"/>
      <c r="BG225" s="379"/>
      <c r="BH225" s="379"/>
      <c r="BI225" s="379"/>
      <c r="BJ225" s="379"/>
      <c r="BK225" s="379"/>
      <c r="BL225" s="379"/>
      <c r="BM225" s="379"/>
      <c r="BN225" s="379"/>
    </row>
    <row r="226" spans="55:66" ht="24.75" customHeight="1">
      <c r="BC226" s="379"/>
      <c r="BD226" s="379"/>
      <c r="BE226" s="379"/>
      <c r="BF226" s="379"/>
      <c r="BG226" s="379"/>
      <c r="BH226" s="379"/>
      <c r="BI226" s="379"/>
      <c r="BJ226" s="379"/>
      <c r="BK226" s="379"/>
      <c r="BL226" s="379"/>
      <c r="BM226" s="379"/>
      <c r="BN226" s="379"/>
    </row>
    <row r="227" spans="55:66" ht="24.75" customHeight="1">
      <c r="BC227" s="379"/>
      <c r="BD227" s="379"/>
      <c r="BE227" s="379"/>
      <c r="BF227" s="379"/>
      <c r="BG227" s="379"/>
      <c r="BH227" s="379"/>
      <c r="BI227" s="379"/>
      <c r="BJ227" s="379"/>
      <c r="BK227" s="379"/>
      <c r="BL227" s="379"/>
      <c r="BM227" s="379"/>
      <c r="BN227" s="379"/>
    </row>
    <row r="228" spans="55:66" ht="24.75" customHeight="1">
      <c r="BC228" s="379"/>
      <c r="BD228" s="379"/>
      <c r="BE228" s="379"/>
      <c r="BF228" s="379"/>
      <c r="BG228" s="379"/>
      <c r="BH228" s="379"/>
      <c r="BI228" s="379"/>
      <c r="BJ228" s="379"/>
      <c r="BK228" s="379"/>
      <c r="BL228" s="379"/>
      <c r="BM228" s="379"/>
      <c r="BN228" s="379"/>
    </row>
    <row r="229" spans="55:66" ht="24.75" customHeight="1">
      <c r="BC229" s="379"/>
      <c r="BD229" s="379"/>
      <c r="BE229" s="379"/>
      <c r="BF229" s="379"/>
      <c r="BG229" s="379"/>
      <c r="BH229" s="379"/>
      <c r="BI229" s="379"/>
      <c r="BJ229" s="379"/>
      <c r="BK229" s="379"/>
      <c r="BL229" s="379"/>
      <c r="BM229" s="379"/>
      <c r="BN229" s="379"/>
    </row>
    <row r="230" spans="55:66" ht="24.75" customHeight="1">
      <c r="BC230" s="379"/>
      <c r="BD230" s="379"/>
      <c r="BE230" s="379"/>
      <c r="BF230" s="379"/>
      <c r="BG230" s="379"/>
      <c r="BH230" s="379"/>
      <c r="BI230" s="379"/>
      <c r="BJ230" s="379"/>
      <c r="BK230" s="379"/>
      <c r="BL230" s="379"/>
      <c r="BM230" s="379"/>
      <c r="BN230" s="379"/>
    </row>
    <row r="231" spans="55:66" ht="24.75" customHeight="1">
      <c r="BC231" s="379"/>
      <c r="BD231" s="379"/>
      <c r="BE231" s="379"/>
      <c r="BF231" s="379"/>
      <c r="BG231" s="379"/>
      <c r="BH231" s="379"/>
      <c r="BI231" s="379"/>
      <c r="BJ231" s="379"/>
      <c r="BK231" s="379"/>
      <c r="BL231" s="379"/>
      <c r="BM231" s="379"/>
      <c r="BN231" s="379"/>
    </row>
    <row r="232" spans="55:66" ht="24.75" customHeight="1">
      <c r="BC232" s="379"/>
      <c r="BD232" s="379"/>
      <c r="BE232" s="379"/>
      <c r="BF232" s="379"/>
      <c r="BG232" s="379"/>
      <c r="BH232" s="379"/>
      <c r="BI232" s="379"/>
      <c r="BJ232" s="379"/>
      <c r="BK232" s="379"/>
      <c r="BL232" s="379"/>
      <c r="BM232" s="379"/>
      <c r="BN232" s="379"/>
    </row>
    <row r="233" spans="55:66" ht="24.75" customHeight="1">
      <c r="BC233" s="379"/>
      <c r="BD233" s="379"/>
      <c r="BE233" s="379"/>
      <c r="BF233" s="379"/>
      <c r="BG233" s="379"/>
      <c r="BH233" s="379"/>
      <c r="BI233" s="379"/>
      <c r="BJ233" s="379"/>
      <c r="BK233" s="379"/>
      <c r="BL233" s="379"/>
      <c r="BM233" s="379"/>
      <c r="BN233" s="379"/>
    </row>
    <row r="234" spans="55:66" ht="24.75" customHeight="1">
      <c r="BC234" s="379"/>
      <c r="BD234" s="379"/>
      <c r="BE234" s="379"/>
      <c r="BF234" s="379"/>
      <c r="BG234" s="379"/>
      <c r="BH234" s="379"/>
      <c r="BI234" s="379"/>
      <c r="BJ234" s="379"/>
      <c r="BK234" s="379"/>
      <c r="BL234" s="379"/>
      <c r="BM234" s="379"/>
      <c r="BN234" s="379"/>
    </row>
    <row r="235" spans="55:66" ht="24.75" customHeight="1">
      <c r="BC235" s="379"/>
      <c r="BD235" s="379"/>
      <c r="BE235" s="379"/>
      <c r="BF235" s="379"/>
      <c r="BG235" s="379"/>
      <c r="BH235" s="379"/>
      <c r="BI235" s="379"/>
      <c r="BJ235" s="379"/>
      <c r="BK235" s="379"/>
      <c r="BL235" s="379"/>
      <c r="BM235" s="379"/>
      <c r="BN235" s="379"/>
    </row>
    <row r="236" spans="55:66" ht="24.75" customHeight="1">
      <c r="BC236" s="379"/>
      <c r="BD236" s="379"/>
      <c r="BE236" s="379"/>
      <c r="BF236" s="379"/>
      <c r="BG236" s="379"/>
      <c r="BH236" s="379"/>
      <c r="BI236" s="379"/>
      <c r="BJ236" s="379"/>
      <c r="BK236" s="379"/>
      <c r="BL236" s="379"/>
      <c r="BM236" s="379"/>
      <c r="BN236" s="379"/>
    </row>
    <row r="237" spans="55:66" ht="24.75" customHeight="1">
      <c r="BC237" s="379"/>
      <c r="BD237" s="379"/>
      <c r="BE237" s="379"/>
      <c r="BF237" s="379"/>
      <c r="BG237" s="379"/>
      <c r="BH237" s="379"/>
      <c r="BI237" s="379"/>
      <c r="BJ237" s="379"/>
      <c r="BK237" s="379"/>
      <c r="BL237" s="379"/>
      <c r="BM237" s="379"/>
      <c r="BN237" s="379"/>
    </row>
    <row r="238" spans="55:66" ht="24.75" customHeight="1">
      <c r="BC238" s="379"/>
      <c r="BD238" s="379"/>
      <c r="BE238" s="379"/>
      <c r="BF238" s="379"/>
      <c r="BG238" s="379"/>
      <c r="BH238" s="379"/>
      <c r="BI238" s="379"/>
      <c r="BJ238" s="379"/>
      <c r="BK238" s="379"/>
      <c r="BL238" s="379"/>
      <c r="BM238" s="379"/>
      <c r="BN238" s="379"/>
    </row>
    <row r="239" spans="55:66" ht="24.75" customHeight="1">
      <c r="BC239" s="379"/>
      <c r="BD239" s="379"/>
      <c r="BE239" s="379"/>
      <c r="BF239" s="379"/>
      <c r="BG239" s="379"/>
      <c r="BH239" s="379"/>
      <c r="BI239" s="379"/>
      <c r="BJ239" s="379"/>
      <c r="BK239" s="379"/>
      <c r="BL239" s="379"/>
      <c r="BM239" s="379"/>
      <c r="BN239" s="379"/>
    </row>
    <row r="240" spans="55:66" ht="24.75" customHeight="1">
      <c r="BC240" s="379"/>
      <c r="BD240" s="379"/>
      <c r="BE240" s="379"/>
      <c r="BF240" s="379"/>
      <c r="BG240" s="379"/>
      <c r="BH240" s="379"/>
      <c r="BI240" s="379"/>
      <c r="BJ240" s="379"/>
      <c r="BK240" s="379"/>
      <c r="BL240" s="379"/>
      <c r="BM240" s="379"/>
      <c r="BN240" s="379"/>
    </row>
    <row r="241" spans="55:66" ht="24.75" customHeight="1">
      <c r="BC241" s="379"/>
      <c r="BD241" s="379"/>
      <c r="BE241" s="379"/>
      <c r="BF241" s="379"/>
      <c r="BG241" s="379"/>
      <c r="BH241" s="379"/>
      <c r="BI241" s="379"/>
      <c r="BJ241" s="379"/>
      <c r="BK241" s="379"/>
      <c r="BL241" s="379"/>
      <c r="BM241" s="379"/>
      <c r="BN241" s="379"/>
    </row>
    <row r="242" spans="55:66" ht="24.75" customHeight="1">
      <c r="BC242" s="379"/>
      <c r="BD242" s="379"/>
      <c r="BE242" s="379"/>
      <c r="BF242" s="379"/>
      <c r="BG242" s="379"/>
      <c r="BH242" s="379"/>
      <c r="BI242" s="379"/>
      <c r="BJ242" s="379"/>
      <c r="BK242" s="379"/>
      <c r="BL242" s="379"/>
      <c r="BM242" s="379"/>
      <c r="BN242" s="379"/>
    </row>
    <row r="243" spans="55:66" ht="24.75" customHeight="1">
      <c r="BC243" s="379"/>
      <c r="BD243" s="379"/>
      <c r="BE243" s="379"/>
      <c r="BF243" s="379"/>
      <c r="BG243" s="379"/>
      <c r="BH243" s="379"/>
      <c r="BI243" s="379"/>
      <c r="BJ243" s="379"/>
      <c r="BK243" s="379"/>
      <c r="BL243" s="379"/>
      <c r="BM243" s="379"/>
      <c r="BN243" s="379"/>
    </row>
    <row r="244" spans="55:66" ht="24.75" customHeight="1">
      <c r="BC244" s="379"/>
      <c r="BD244" s="379"/>
      <c r="BE244" s="379"/>
      <c r="BF244" s="379"/>
      <c r="BG244" s="379"/>
      <c r="BH244" s="379"/>
      <c r="BI244" s="379"/>
      <c r="BJ244" s="379"/>
      <c r="BK244" s="379"/>
      <c r="BL244" s="379"/>
      <c r="BM244" s="379"/>
      <c r="BN244" s="379"/>
    </row>
    <row r="245" spans="55:66" ht="24.75" customHeight="1">
      <c r="BC245" s="379"/>
      <c r="BD245" s="379"/>
      <c r="BE245" s="379"/>
      <c r="BF245" s="379"/>
      <c r="BG245" s="379"/>
      <c r="BH245" s="379"/>
      <c r="BI245" s="379"/>
      <c r="BJ245" s="379"/>
      <c r="BK245" s="379"/>
      <c r="BL245" s="379"/>
      <c r="BM245" s="379"/>
      <c r="BN245" s="379"/>
    </row>
    <row r="246" spans="55:66" ht="24.75" customHeight="1">
      <c r="BC246" s="379"/>
      <c r="BD246" s="379"/>
      <c r="BE246" s="379"/>
      <c r="BF246" s="379"/>
      <c r="BG246" s="379"/>
      <c r="BH246" s="379"/>
      <c r="BI246" s="379"/>
      <c r="BJ246" s="379"/>
      <c r="BK246" s="379"/>
      <c r="BL246" s="379"/>
      <c r="BM246" s="379"/>
      <c r="BN246" s="379"/>
    </row>
    <row r="247" spans="55:66" ht="24.75" customHeight="1">
      <c r="BC247" s="379"/>
      <c r="BD247" s="379"/>
      <c r="BE247" s="379"/>
      <c r="BF247" s="379"/>
      <c r="BG247" s="379"/>
      <c r="BH247" s="379"/>
      <c r="BI247" s="379"/>
      <c r="BJ247" s="379"/>
      <c r="BK247" s="379"/>
      <c r="BL247" s="379"/>
      <c r="BM247" s="379"/>
      <c r="BN247" s="379"/>
    </row>
    <row r="248" spans="55:66" ht="24.75" customHeight="1">
      <c r="BC248" s="379"/>
      <c r="BD248" s="379"/>
      <c r="BE248" s="379"/>
      <c r="BF248" s="379"/>
      <c r="BG248" s="379"/>
      <c r="BH248" s="379"/>
      <c r="BI248" s="379"/>
      <c r="BJ248" s="379"/>
      <c r="BK248" s="379"/>
      <c r="BL248" s="379"/>
      <c r="BM248" s="379"/>
      <c r="BN248" s="379"/>
    </row>
    <row r="249" spans="55:66" ht="24.75" customHeight="1">
      <c r="BC249" s="379"/>
      <c r="BD249" s="379"/>
      <c r="BE249" s="379"/>
      <c r="BF249" s="379"/>
      <c r="BG249" s="379"/>
      <c r="BH249" s="379"/>
      <c r="BI249" s="379"/>
      <c r="BJ249" s="379"/>
      <c r="BK249" s="379"/>
      <c r="BL249" s="379"/>
      <c r="BM249" s="379"/>
      <c r="BN249" s="379"/>
    </row>
    <row r="250" spans="55:66" ht="24.75" customHeight="1">
      <c r="BC250" s="379"/>
      <c r="BD250" s="379"/>
      <c r="BE250" s="379"/>
      <c r="BF250" s="379"/>
      <c r="BG250" s="379"/>
      <c r="BH250" s="379"/>
      <c r="BI250" s="379"/>
      <c r="BJ250" s="379"/>
      <c r="BK250" s="379"/>
      <c r="BL250" s="379"/>
      <c r="BM250" s="379"/>
      <c r="BN250" s="379"/>
    </row>
    <row r="251" spans="55:66" ht="24.75" customHeight="1">
      <c r="BC251" s="379"/>
      <c r="BD251" s="379"/>
      <c r="BE251" s="379"/>
      <c r="BF251" s="379"/>
      <c r="BG251" s="379"/>
      <c r="BH251" s="379"/>
      <c r="BI251" s="379"/>
      <c r="BJ251" s="379"/>
      <c r="BK251" s="379"/>
      <c r="BL251" s="379"/>
      <c r="BM251" s="379"/>
      <c r="BN251" s="379"/>
    </row>
    <row r="252" spans="55:66" ht="24.75" customHeight="1">
      <c r="BC252" s="379"/>
      <c r="BD252" s="379"/>
      <c r="BE252" s="379"/>
      <c r="BF252" s="379"/>
      <c r="BG252" s="379"/>
      <c r="BH252" s="379"/>
      <c r="BI252" s="379"/>
      <c r="BJ252" s="379"/>
      <c r="BK252" s="379"/>
      <c r="BL252" s="379"/>
      <c r="BM252" s="379"/>
      <c r="BN252" s="379"/>
    </row>
    <row r="253" spans="55:66" ht="24.75" customHeight="1">
      <c r="BC253" s="379"/>
      <c r="BD253" s="379"/>
      <c r="BE253" s="379"/>
      <c r="BF253" s="379"/>
      <c r="BG253" s="379"/>
      <c r="BH253" s="379"/>
      <c r="BI253" s="379"/>
      <c r="BJ253" s="379"/>
      <c r="BK253" s="379"/>
      <c r="BL253" s="379"/>
      <c r="BM253" s="379"/>
      <c r="BN253" s="379"/>
    </row>
    <row r="254" spans="55:66" ht="24.75" customHeight="1">
      <c r="BC254" s="379"/>
      <c r="BD254" s="379"/>
      <c r="BE254" s="379"/>
      <c r="BF254" s="379"/>
      <c r="BG254" s="379"/>
      <c r="BH254" s="379"/>
      <c r="BI254" s="379"/>
      <c r="BJ254" s="379"/>
      <c r="BK254" s="379"/>
      <c r="BL254" s="379"/>
      <c r="BM254" s="379"/>
      <c r="BN254" s="379"/>
    </row>
    <row r="255" spans="55:66" ht="24.75" customHeight="1">
      <c r="BC255" s="379"/>
      <c r="BD255" s="379"/>
      <c r="BE255" s="379"/>
      <c r="BF255" s="379"/>
      <c r="BG255" s="379"/>
      <c r="BH255" s="379"/>
      <c r="BI255" s="379"/>
      <c r="BJ255" s="379"/>
      <c r="BK255" s="379"/>
      <c r="BL255" s="379"/>
      <c r="BM255" s="379"/>
      <c r="BN255" s="379"/>
    </row>
    <row r="256" spans="55:66" ht="24.75" customHeight="1">
      <c r="BC256" s="379"/>
      <c r="BD256" s="379"/>
      <c r="BE256" s="379"/>
      <c r="BF256" s="379"/>
      <c r="BG256" s="379"/>
      <c r="BH256" s="379"/>
      <c r="BI256" s="379"/>
      <c r="BJ256" s="379"/>
      <c r="BK256" s="379"/>
      <c r="BL256" s="379"/>
      <c r="BM256" s="379"/>
      <c r="BN256" s="379"/>
    </row>
    <row r="257" spans="55:66" ht="24.75" customHeight="1">
      <c r="BC257" s="379"/>
      <c r="BD257" s="379"/>
      <c r="BE257" s="379"/>
      <c r="BF257" s="379"/>
      <c r="BG257" s="379"/>
      <c r="BH257" s="379"/>
      <c r="BI257" s="379"/>
      <c r="BJ257" s="379"/>
      <c r="BK257" s="379"/>
      <c r="BL257" s="379"/>
      <c r="BM257" s="379"/>
      <c r="BN257" s="379"/>
    </row>
    <row r="258" spans="55:66" ht="24.75" customHeight="1">
      <c r="BC258" s="379"/>
      <c r="BD258" s="379"/>
      <c r="BE258" s="379"/>
      <c r="BF258" s="379"/>
      <c r="BG258" s="379"/>
      <c r="BH258" s="379"/>
      <c r="BI258" s="379"/>
      <c r="BJ258" s="379"/>
      <c r="BK258" s="379"/>
      <c r="BL258" s="379"/>
      <c r="BM258" s="379"/>
      <c r="BN258" s="379"/>
    </row>
    <row r="259" spans="55:66" ht="24.75" customHeight="1">
      <c r="BC259" s="379"/>
      <c r="BD259" s="379"/>
      <c r="BE259" s="379"/>
      <c r="BF259" s="379"/>
      <c r="BG259" s="379"/>
      <c r="BH259" s="379"/>
      <c r="BI259" s="379"/>
      <c r="BJ259" s="379"/>
      <c r="BK259" s="379"/>
      <c r="BL259" s="379"/>
      <c r="BM259" s="379"/>
      <c r="BN259" s="379"/>
    </row>
    <row r="260" spans="55:66" ht="24.75" customHeight="1">
      <c r="BC260" s="379"/>
      <c r="BD260" s="379"/>
      <c r="BE260" s="379"/>
      <c r="BF260" s="379"/>
      <c r="BG260" s="379"/>
      <c r="BH260" s="379"/>
      <c r="BI260" s="379"/>
      <c r="BJ260" s="379"/>
      <c r="BK260" s="379"/>
      <c r="BL260" s="379"/>
      <c r="BM260" s="379"/>
      <c r="BN260" s="379"/>
    </row>
    <row r="261" spans="55:66" ht="24.75" customHeight="1">
      <c r="BC261" s="379"/>
      <c r="BD261" s="379"/>
      <c r="BE261" s="379"/>
      <c r="BF261" s="379"/>
      <c r="BG261" s="379"/>
      <c r="BH261" s="379"/>
      <c r="BI261" s="379"/>
      <c r="BJ261" s="379"/>
      <c r="BK261" s="379"/>
      <c r="BL261" s="379"/>
      <c r="BM261" s="379"/>
      <c r="BN261" s="379"/>
    </row>
    <row r="262" spans="55:66" ht="24.75" customHeight="1">
      <c r="BC262" s="379"/>
      <c r="BD262" s="379"/>
      <c r="BE262" s="379"/>
      <c r="BF262" s="379"/>
      <c r="BG262" s="379"/>
      <c r="BH262" s="379"/>
      <c r="BI262" s="379"/>
      <c r="BJ262" s="379"/>
      <c r="BK262" s="379"/>
      <c r="BL262" s="379"/>
      <c r="BM262" s="379"/>
      <c r="BN262" s="379"/>
    </row>
    <row r="263" spans="55:66" ht="24.75" customHeight="1">
      <c r="BC263" s="379"/>
      <c r="BD263" s="379"/>
      <c r="BE263" s="379"/>
      <c r="BF263" s="379"/>
      <c r="BG263" s="379"/>
      <c r="BH263" s="379"/>
      <c r="BI263" s="379"/>
      <c r="BJ263" s="379"/>
      <c r="BK263" s="379"/>
      <c r="BL263" s="379"/>
      <c r="BM263" s="379"/>
      <c r="BN263" s="379"/>
    </row>
    <row r="264" spans="55:66" ht="24.75" customHeight="1">
      <c r="BC264" s="379"/>
      <c r="BD264" s="379"/>
      <c r="BE264" s="379"/>
      <c r="BF264" s="379"/>
      <c r="BG264" s="379"/>
      <c r="BH264" s="379"/>
      <c r="BI264" s="379"/>
      <c r="BJ264" s="379"/>
      <c r="BK264" s="379"/>
      <c r="BL264" s="379"/>
      <c r="BM264" s="379"/>
      <c r="BN264" s="379"/>
    </row>
    <row r="265" spans="55:66" ht="24.75" customHeight="1">
      <c r="BC265" s="379"/>
      <c r="BD265" s="379"/>
      <c r="BE265" s="379"/>
      <c r="BF265" s="379"/>
      <c r="BG265" s="379"/>
      <c r="BH265" s="379"/>
      <c r="BI265" s="379"/>
      <c r="BJ265" s="379"/>
      <c r="BK265" s="379"/>
      <c r="BL265" s="379"/>
      <c r="BM265" s="379"/>
      <c r="BN265" s="379"/>
    </row>
    <row r="266" spans="55:66" ht="24.75" customHeight="1">
      <c r="BC266" s="379"/>
      <c r="BD266" s="379"/>
      <c r="BE266" s="379"/>
      <c r="BF266" s="379"/>
      <c r="BG266" s="379"/>
      <c r="BH266" s="379"/>
      <c r="BI266" s="379"/>
      <c r="BJ266" s="379"/>
      <c r="BK266" s="379"/>
      <c r="BL266" s="379"/>
      <c r="BM266" s="379"/>
      <c r="BN266" s="379"/>
    </row>
    <row r="267" spans="55:66" ht="24.75" customHeight="1">
      <c r="BC267" s="379"/>
      <c r="BD267" s="379"/>
      <c r="BE267" s="379"/>
      <c r="BF267" s="379"/>
      <c r="BG267" s="379"/>
      <c r="BH267" s="379"/>
      <c r="BI267" s="379"/>
      <c r="BJ267" s="379"/>
      <c r="BK267" s="379"/>
      <c r="BL267" s="379"/>
      <c r="BM267" s="379"/>
      <c r="BN267" s="379"/>
    </row>
    <row r="268" spans="55:66" ht="24.75" customHeight="1">
      <c r="BC268" s="379"/>
      <c r="BD268" s="379"/>
      <c r="BE268" s="379"/>
      <c r="BF268" s="379"/>
      <c r="BG268" s="379"/>
      <c r="BH268" s="379"/>
      <c r="BI268" s="379"/>
      <c r="BJ268" s="379"/>
      <c r="BK268" s="379"/>
      <c r="BL268" s="379"/>
      <c r="BM268" s="379"/>
      <c r="BN268" s="379"/>
    </row>
    <row r="269" spans="55:66" ht="24.75" customHeight="1">
      <c r="BC269" s="379"/>
      <c r="BD269" s="379"/>
      <c r="BE269" s="379"/>
      <c r="BF269" s="379"/>
      <c r="BG269" s="379"/>
      <c r="BH269" s="379"/>
      <c r="BI269" s="379"/>
      <c r="BJ269" s="379"/>
      <c r="BK269" s="379"/>
      <c r="BL269" s="379"/>
      <c r="BM269" s="379"/>
      <c r="BN269" s="379"/>
    </row>
    <row r="270" spans="55:66" ht="24.75" customHeight="1">
      <c r="BC270" s="379"/>
      <c r="BD270" s="379"/>
      <c r="BE270" s="379"/>
      <c r="BF270" s="379"/>
      <c r="BG270" s="379"/>
      <c r="BH270" s="379"/>
      <c r="BI270" s="379"/>
      <c r="BJ270" s="379"/>
      <c r="BK270" s="379"/>
      <c r="BL270" s="379"/>
      <c r="BM270" s="379"/>
      <c r="BN270" s="379"/>
    </row>
    <row r="271" spans="55:66" ht="24.75" customHeight="1">
      <c r="BC271" s="379"/>
      <c r="BD271" s="379"/>
      <c r="BE271" s="379"/>
      <c r="BF271" s="379"/>
      <c r="BG271" s="379"/>
      <c r="BH271" s="379"/>
      <c r="BI271" s="379"/>
      <c r="BJ271" s="379"/>
      <c r="BK271" s="379"/>
      <c r="BL271" s="379"/>
      <c r="BM271" s="379"/>
      <c r="BN271" s="379"/>
    </row>
    <row r="272" spans="55:66" ht="24.75" customHeight="1">
      <c r="BC272" s="379"/>
      <c r="BD272" s="379"/>
      <c r="BE272" s="379"/>
      <c r="BF272" s="379"/>
      <c r="BG272" s="379"/>
      <c r="BH272" s="379"/>
      <c r="BI272" s="379"/>
      <c r="BJ272" s="379"/>
      <c r="BK272" s="379"/>
      <c r="BL272" s="379"/>
      <c r="BM272" s="379"/>
      <c r="BN272" s="379"/>
    </row>
    <row r="273" spans="55:66" ht="24.75" customHeight="1">
      <c r="BC273" s="379"/>
      <c r="BD273" s="379"/>
      <c r="BE273" s="379"/>
      <c r="BF273" s="379"/>
      <c r="BG273" s="379"/>
      <c r="BH273" s="379"/>
      <c r="BI273" s="379"/>
      <c r="BJ273" s="379"/>
      <c r="BK273" s="379"/>
      <c r="BL273" s="379"/>
      <c r="BM273" s="379"/>
      <c r="BN273" s="379"/>
    </row>
    <row r="274" spans="55:66" ht="24.75" customHeight="1">
      <c r="BC274" s="379"/>
      <c r="BD274" s="379"/>
      <c r="BE274" s="379"/>
      <c r="BF274" s="379"/>
      <c r="BG274" s="379"/>
      <c r="BH274" s="379"/>
      <c r="BI274" s="379"/>
      <c r="BJ274" s="379"/>
      <c r="BK274" s="379"/>
      <c r="BL274" s="379"/>
      <c r="BM274" s="379"/>
      <c r="BN274" s="379"/>
    </row>
    <row r="275" spans="55:66" ht="24.75" customHeight="1">
      <c r="BC275" s="379"/>
      <c r="BD275" s="379"/>
      <c r="BE275" s="379"/>
      <c r="BF275" s="379"/>
      <c r="BG275" s="379"/>
      <c r="BH275" s="379"/>
      <c r="BI275" s="379"/>
      <c r="BJ275" s="379"/>
      <c r="BK275" s="379"/>
      <c r="BL275" s="379"/>
      <c r="BM275" s="379"/>
      <c r="BN275" s="379"/>
    </row>
    <row r="276" spans="55:66" ht="24.75" customHeight="1">
      <c r="BC276" s="379"/>
      <c r="BD276" s="379"/>
      <c r="BE276" s="379"/>
      <c r="BF276" s="379"/>
      <c r="BG276" s="379"/>
      <c r="BH276" s="379"/>
      <c r="BI276" s="379"/>
      <c r="BJ276" s="379"/>
      <c r="BK276" s="379"/>
      <c r="BL276" s="379"/>
      <c r="BM276" s="379"/>
      <c r="BN276" s="379"/>
    </row>
    <row r="277" spans="55:66" ht="24.75" customHeight="1">
      <c r="BC277" s="379"/>
      <c r="BD277" s="379"/>
      <c r="BE277" s="379"/>
      <c r="BF277" s="379"/>
      <c r="BG277" s="379"/>
      <c r="BH277" s="379"/>
      <c r="BI277" s="379"/>
      <c r="BJ277" s="379"/>
      <c r="BK277" s="379"/>
      <c r="BL277" s="379"/>
      <c r="BM277" s="379"/>
      <c r="BN277" s="379"/>
    </row>
    <row r="278" spans="55:66" ht="24.75" customHeight="1">
      <c r="BC278" s="379"/>
      <c r="BD278" s="379"/>
      <c r="BE278" s="379"/>
      <c r="BF278" s="379"/>
      <c r="BG278" s="379"/>
      <c r="BH278" s="379"/>
      <c r="BI278" s="379"/>
      <c r="BJ278" s="379"/>
      <c r="BK278" s="379"/>
      <c r="BL278" s="379"/>
      <c r="BM278" s="379"/>
      <c r="BN278" s="379"/>
    </row>
    <row r="279" spans="55:66" ht="24.75" customHeight="1">
      <c r="BC279" s="379"/>
      <c r="BD279" s="379"/>
      <c r="BE279" s="379"/>
      <c r="BF279" s="379"/>
      <c r="BG279" s="379"/>
      <c r="BH279" s="379"/>
      <c r="BI279" s="379"/>
      <c r="BJ279" s="379"/>
      <c r="BK279" s="379"/>
      <c r="BL279" s="379"/>
      <c r="BM279" s="379"/>
      <c r="BN279" s="379"/>
    </row>
    <row r="280" spans="55:66" ht="24.75" customHeight="1">
      <c r="BC280" s="379"/>
      <c r="BD280" s="379"/>
      <c r="BE280" s="379"/>
      <c r="BF280" s="379"/>
      <c r="BG280" s="379"/>
      <c r="BH280" s="379"/>
      <c r="BI280" s="379"/>
      <c r="BJ280" s="379"/>
      <c r="BK280" s="379"/>
      <c r="BL280" s="379"/>
      <c r="BM280" s="379"/>
      <c r="BN280" s="379"/>
    </row>
    <row r="281" spans="55:66" ht="24.75" customHeight="1">
      <c r="BC281" s="379"/>
      <c r="BD281" s="379"/>
      <c r="BE281" s="379"/>
      <c r="BF281" s="379"/>
      <c r="BG281" s="379"/>
      <c r="BH281" s="379"/>
      <c r="BI281" s="379"/>
      <c r="BJ281" s="379"/>
      <c r="BK281" s="379"/>
      <c r="BL281" s="379"/>
      <c r="BM281" s="379"/>
      <c r="BN281" s="379"/>
    </row>
    <row r="282" spans="55:66" ht="24.75" customHeight="1">
      <c r="BC282" s="379"/>
      <c r="BD282" s="379"/>
      <c r="BE282" s="379"/>
      <c r="BF282" s="379"/>
      <c r="BG282" s="379"/>
      <c r="BH282" s="379"/>
      <c r="BI282" s="379"/>
      <c r="BJ282" s="379"/>
      <c r="BK282" s="379"/>
      <c r="BL282" s="379"/>
      <c r="BM282" s="379"/>
      <c r="BN282" s="379"/>
    </row>
    <row r="283" spans="55:66" ht="24.75" customHeight="1">
      <c r="BC283" s="379"/>
      <c r="BD283" s="379"/>
      <c r="BE283" s="379"/>
      <c r="BF283" s="379"/>
      <c r="BG283" s="379"/>
      <c r="BH283" s="379"/>
      <c r="BI283" s="379"/>
      <c r="BJ283" s="379"/>
      <c r="BK283" s="379"/>
      <c r="BL283" s="379"/>
      <c r="BM283" s="379"/>
      <c r="BN283" s="379"/>
    </row>
    <row r="284" spans="55:66" ht="24.75" customHeight="1">
      <c r="BC284" s="379"/>
      <c r="BD284" s="379"/>
      <c r="BE284" s="379"/>
      <c r="BF284" s="379"/>
      <c r="BG284" s="379"/>
      <c r="BH284" s="379"/>
      <c r="BI284" s="379"/>
      <c r="BJ284" s="379"/>
      <c r="BK284" s="379"/>
      <c r="BL284" s="379"/>
      <c r="BM284" s="379"/>
      <c r="BN284" s="379"/>
    </row>
    <row r="285" spans="55:66" ht="24.75" customHeight="1">
      <c r="BC285" s="379"/>
      <c r="BD285" s="379"/>
      <c r="BE285" s="379"/>
      <c r="BF285" s="379"/>
      <c r="BG285" s="379"/>
      <c r="BH285" s="379"/>
      <c r="BI285" s="379"/>
      <c r="BJ285" s="379"/>
      <c r="BK285" s="379"/>
      <c r="BL285" s="379"/>
      <c r="BM285" s="379"/>
      <c r="BN285" s="379"/>
    </row>
    <row r="286" spans="55:66" ht="24.75" customHeight="1">
      <c r="BC286" s="379"/>
      <c r="BD286" s="379"/>
      <c r="BE286" s="379"/>
      <c r="BF286" s="379"/>
      <c r="BG286" s="379"/>
      <c r="BH286" s="379"/>
      <c r="BI286" s="379"/>
      <c r="BJ286" s="379"/>
      <c r="BK286" s="379"/>
      <c r="BL286" s="379"/>
      <c r="BM286" s="379"/>
      <c r="BN286" s="379"/>
    </row>
    <row r="287" spans="55:66" ht="24.75" customHeight="1">
      <c r="BC287" s="379"/>
      <c r="BD287" s="379"/>
      <c r="BE287" s="379"/>
      <c r="BF287" s="379"/>
      <c r="BG287" s="379"/>
      <c r="BH287" s="379"/>
      <c r="BI287" s="379"/>
      <c r="BJ287" s="379"/>
      <c r="BK287" s="379"/>
      <c r="BL287" s="379"/>
      <c r="BM287" s="379"/>
      <c r="BN287" s="379"/>
    </row>
    <row r="288" spans="55:66" ht="24.75" customHeight="1">
      <c r="BC288" s="379"/>
      <c r="BD288" s="379"/>
      <c r="BE288" s="379"/>
      <c r="BF288" s="379"/>
      <c r="BG288" s="379"/>
      <c r="BH288" s="379"/>
      <c r="BI288" s="379"/>
      <c r="BJ288" s="379"/>
      <c r="BK288" s="379"/>
      <c r="BL288" s="379"/>
      <c r="BM288" s="379"/>
      <c r="BN288" s="379"/>
    </row>
    <row r="289" spans="55:66" ht="24.75" customHeight="1">
      <c r="BC289" s="379"/>
      <c r="BD289" s="379"/>
      <c r="BE289" s="379"/>
      <c r="BF289" s="379"/>
      <c r="BG289" s="379"/>
      <c r="BH289" s="379"/>
      <c r="BI289" s="379"/>
      <c r="BJ289" s="379"/>
      <c r="BK289" s="379"/>
      <c r="BL289" s="379"/>
      <c r="BM289" s="379"/>
      <c r="BN289" s="379"/>
    </row>
    <row r="290" spans="55:66" ht="24.75" customHeight="1">
      <c r="BC290" s="379"/>
      <c r="BD290" s="379"/>
      <c r="BE290" s="379"/>
      <c r="BF290" s="379"/>
      <c r="BG290" s="379"/>
      <c r="BH290" s="379"/>
      <c r="BI290" s="379"/>
      <c r="BJ290" s="379"/>
      <c r="BK290" s="379"/>
      <c r="BL290" s="379"/>
      <c r="BM290" s="379"/>
      <c r="BN290" s="379"/>
    </row>
    <row r="291" spans="55:66" ht="24.75" customHeight="1">
      <c r="BC291" s="379"/>
      <c r="BD291" s="379"/>
      <c r="BE291" s="379"/>
      <c r="BF291" s="379"/>
      <c r="BG291" s="379"/>
      <c r="BH291" s="379"/>
      <c r="BI291" s="379"/>
      <c r="BJ291" s="379"/>
      <c r="BK291" s="379"/>
      <c r="BL291" s="379"/>
      <c r="BM291" s="379"/>
      <c r="BN291" s="379"/>
    </row>
    <row r="292" spans="55:66" ht="24.75" customHeight="1">
      <c r="BC292" s="379"/>
      <c r="BD292" s="379"/>
      <c r="BE292" s="379"/>
      <c r="BF292" s="379"/>
      <c r="BG292" s="379"/>
      <c r="BH292" s="379"/>
      <c r="BI292" s="379"/>
      <c r="BJ292" s="379"/>
      <c r="BK292" s="379"/>
      <c r="BL292" s="379"/>
      <c r="BM292" s="379"/>
      <c r="BN292" s="379"/>
    </row>
    <row r="293" spans="55:66" ht="24.75" customHeight="1">
      <c r="BC293" s="379"/>
      <c r="BD293" s="379"/>
      <c r="BE293" s="379"/>
      <c r="BF293" s="379"/>
      <c r="BG293" s="379"/>
      <c r="BH293" s="379"/>
      <c r="BI293" s="379"/>
      <c r="BJ293" s="379"/>
      <c r="BK293" s="379"/>
      <c r="BL293" s="379"/>
      <c r="BM293" s="379"/>
      <c r="BN293" s="379"/>
    </row>
    <row r="294" spans="55:66" ht="24.75" customHeight="1">
      <c r="BC294" s="379"/>
      <c r="BD294" s="379"/>
      <c r="BE294" s="379"/>
      <c r="BF294" s="379"/>
      <c r="BG294" s="379"/>
      <c r="BH294" s="379"/>
      <c r="BI294" s="379"/>
      <c r="BJ294" s="379"/>
      <c r="BK294" s="379"/>
      <c r="BL294" s="379"/>
      <c r="BM294" s="379"/>
      <c r="BN294" s="379"/>
    </row>
    <row r="295" spans="55:66" ht="24.75" customHeight="1">
      <c r="BC295" s="379"/>
      <c r="BD295" s="379"/>
      <c r="BE295" s="379"/>
      <c r="BF295" s="379"/>
      <c r="BG295" s="379"/>
      <c r="BH295" s="379"/>
      <c r="BI295" s="379"/>
      <c r="BJ295" s="379"/>
      <c r="BK295" s="379"/>
      <c r="BL295" s="379"/>
      <c r="BM295" s="379"/>
      <c r="BN295" s="379"/>
    </row>
    <row r="296" spans="55:66">
      <c r="BC296" s="379"/>
      <c r="BD296" s="379"/>
      <c r="BE296" s="379"/>
      <c r="BF296" s="379"/>
      <c r="BG296" s="379"/>
      <c r="BH296" s="379"/>
      <c r="BI296" s="379"/>
      <c r="BJ296" s="379"/>
      <c r="BK296" s="379"/>
      <c r="BL296" s="379"/>
      <c r="BM296" s="379"/>
      <c r="BN296" s="379"/>
    </row>
    <row r="297" spans="55:66">
      <c r="BC297" s="379"/>
      <c r="BD297" s="379"/>
      <c r="BE297" s="379"/>
      <c r="BF297" s="379"/>
      <c r="BG297" s="379"/>
      <c r="BH297" s="379"/>
      <c r="BI297" s="379"/>
      <c r="BJ297" s="379"/>
      <c r="BK297" s="379"/>
      <c r="BL297" s="379"/>
      <c r="BM297" s="379"/>
      <c r="BN297" s="379"/>
    </row>
    <row r="298" spans="55:66">
      <c r="BC298" s="379"/>
      <c r="BD298" s="379"/>
      <c r="BE298" s="379"/>
      <c r="BF298" s="379"/>
      <c r="BG298" s="379"/>
      <c r="BH298" s="379"/>
      <c r="BI298" s="379"/>
      <c r="BJ298" s="379"/>
      <c r="BK298" s="379"/>
      <c r="BL298" s="379"/>
      <c r="BM298" s="379"/>
      <c r="BN298" s="379"/>
    </row>
    <row r="299" spans="55:66">
      <c r="BC299" s="379"/>
      <c r="BD299" s="379"/>
      <c r="BE299" s="379"/>
      <c r="BF299" s="379"/>
      <c r="BG299" s="379"/>
      <c r="BH299" s="379"/>
      <c r="BI299" s="379"/>
      <c r="BJ299" s="379"/>
      <c r="BK299" s="379"/>
      <c r="BL299" s="379"/>
      <c r="BM299" s="379"/>
      <c r="BN299" s="379"/>
    </row>
    <row r="300" spans="55:66">
      <c r="BC300" s="379"/>
      <c r="BD300" s="379"/>
      <c r="BE300" s="379"/>
      <c r="BF300" s="379"/>
      <c r="BG300" s="379"/>
      <c r="BH300" s="379"/>
      <c r="BI300" s="379"/>
      <c r="BJ300" s="379"/>
      <c r="BK300" s="379"/>
      <c r="BL300" s="379"/>
      <c r="BM300" s="379"/>
      <c r="BN300" s="379"/>
    </row>
    <row r="301" spans="55:66">
      <c r="BC301" s="379"/>
      <c r="BD301" s="379"/>
      <c r="BE301" s="379"/>
      <c r="BF301" s="379"/>
      <c r="BG301" s="379"/>
      <c r="BH301" s="379"/>
      <c r="BI301" s="379"/>
      <c r="BJ301" s="379"/>
      <c r="BK301" s="379"/>
      <c r="BL301" s="379"/>
      <c r="BM301" s="379"/>
      <c r="BN301" s="379"/>
    </row>
    <row r="302" spans="55:66">
      <c r="BC302" s="379"/>
      <c r="BD302" s="379"/>
      <c r="BE302" s="379"/>
      <c r="BF302" s="379"/>
      <c r="BG302" s="379"/>
      <c r="BH302" s="379"/>
      <c r="BI302" s="379"/>
      <c r="BJ302" s="379"/>
      <c r="BK302" s="379"/>
      <c r="BL302" s="379"/>
      <c r="BM302" s="379"/>
      <c r="BN302" s="379"/>
    </row>
    <row r="303" spans="55:66">
      <c r="BC303" s="379"/>
      <c r="BD303" s="379"/>
      <c r="BE303" s="379"/>
      <c r="BF303" s="379"/>
      <c r="BG303" s="379"/>
      <c r="BH303" s="379"/>
      <c r="BI303" s="379"/>
      <c r="BJ303" s="379"/>
      <c r="BK303" s="379"/>
      <c r="BL303" s="379"/>
      <c r="BM303" s="379"/>
      <c r="BN303" s="379"/>
    </row>
    <row r="304" spans="55:66">
      <c r="BC304" s="379"/>
      <c r="BD304" s="379"/>
      <c r="BE304" s="379"/>
      <c r="BF304" s="379"/>
      <c r="BG304" s="379"/>
      <c r="BH304" s="379"/>
      <c r="BI304" s="379"/>
      <c r="BJ304" s="379"/>
      <c r="BK304" s="379"/>
      <c r="BL304" s="379"/>
      <c r="BM304" s="379"/>
      <c r="BN304" s="379"/>
    </row>
    <row r="305" spans="55:66">
      <c r="BC305" s="379"/>
      <c r="BD305" s="379"/>
      <c r="BE305" s="379"/>
      <c r="BF305" s="379"/>
      <c r="BG305" s="379"/>
      <c r="BH305" s="379"/>
      <c r="BI305" s="379"/>
      <c r="BJ305" s="379"/>
      <c r="BK305" s="379"/>
      <c r="BL305" s="379"/>
      <c r="BM305" s="379"/>
      <c r="BN305" s="379"/>
    </row>
    <row r="306" spans="55:66">
      <c r="BC306" s="379"/>
      <c r="BD306" s="379"/>
      <c r="BE306" s="379"/>
      <c r="BF306" s="379"/>
      <c r="BG306" s="379"/>
      <c r="BH306" s="379"/>
      <c r="BI306" s="379"/>
      <c r="BJ306" s="379"/>
      <c r="BK306" s="379"/>
      <c r="BL306" s="379"/>
      <c r="BM306" s="379"/>
      <c r="BN306" s="379"/>
    </row>
    <row r="307" spans="55:66">
      <c r="BC307" s="379"/>
      <c r="BD307" s="379"/>
      <c r="BE307" s="379"/>
      <c r="BF307" s="379"/>
      <c r="BG307" s="379"/>
      <c r="BH307" s="379"/>
      <c r="BI307" s="379"/>
      <c r="BJ307" s="379"/>
      <c r="BK307" s="379"/>
      <c r="BL307" s="379"/>
      <c r="BM307" s="379"/>
      <c r="BN307" s="379"/>
    </row>
    <row r="308" spans="55:66">
      <c r="BC308" s="379"/>
      <c r="BD308" s="379"/>
      <c r="BE308" s="379"/>
      <c r="BF308" s="379"/>
      <c r="BG308" s="379"/>
      <c r="BH308" s="379"/>
      <c r="BI308" s="379"/>
      <c r="BJ308" s="379"/>
      <c r="BK308" s="379"/>
      <c r="BL308" s="379"/>
      <c r="BM308" s="379"/>
      <c r="BN308" s="379"/>
    </row>
  </sheetData>
  <mergeCells count="114">
    <mergeCell ref="X3:AA3"/>
    <mergeCell ref="AC3:AE3"/>
    <mergeCell ref="AC4:AC6"/>
    <mergeCell ref="AD4:AD6"/>
    <mergeCell ref="AE4:AE6"/>
    <mergeCell ref="AH4:AH6"/>
    <mergeCell ref="AF3:AF6"/>
    <mergeCell ref="AG3:AG6"/>
    <mergeCell ref="H1:W1"/>
    <mergeCell ref="L2:Q2"/>
    <mergeCell ref="G3:H4"/>
    <mergeCell ref="I3:I6"/>
    <mergeCell ref="Q5:Q6"/>
    <mergeCell ref="V5:V6"/>
    <mergeCell ref="R3:W3"/>
    <mergeCell ref="U5:U6"/>
    <mergeCell ref="K3:Q3"/>
    <mergeCell ref="N5:N6"/>
    <mergeCell ref="CS4:CT4"/>
    <mergeCell ref="G5:G6"/>
    <mergeCell ref="H5:H6"/>
    <mergeCell ref="K5:K6"/>
    <mergeCell ref="L5:L6"/>
    <mergeCell ref="M5:M6"/>
    <mergeCell ref="CG3:CG6"/>
    <mergeCell ref="CH3:CL3"/>
    <mergeCell ref="CM3:CO4"/>
    <mergeCell ref="CP3:CT3"/>
    <mergeCell ref="CD5:CE5"/>
    <mergeCell ref="BX3:BX6"/>
    <mergeCell ref="BY3:BY6"/>
    <mergeCell ref="BR3:BR5"/>
    <mergeCell ref="BS3:BS5"/>
    <mergeCell ref="BZ3:BZ6"/>
    <mergeCell ref="CA3:CA6"/>
    <mergeCell ref="CB3:CE4"/>
    <mergeCell ref="BL3:BM4"/>
    <mergeCell ref="BN3:BO4"/>
    <mergeCell ref="CK4:CL4"/>
    <mergeCell ref="CP4:CR4"/>
    <mergeCell ref="CH4:CJ4"/>
    <mergeCell ref="BT3:BT5"/>
    <mergeCell ref="CF3:CF6"/>
    <mergeCell ref="BT6:BV6"/>
    <mergeCell ref="AN4:AN6"/>
    <mergeCell ref="AO4:AO6"/>
    <mergeCell ref="AV4:AV6"/>
    <mergeCell ref="BW3:BW6"/>
    <mergeCell ref="BN5:BN6"/>
    <mergeCell ref="BO5:BO6"/>
    <mergeCell ref="CB5:CC5"/>
    <mergeCell ref="BU3:BU5"/>
    <mergeCell ref="BV3:BV5"/>
    <mergeCell ref="BP3:BP5"/>
    <mergeCell ref="BQ3:BQ5"/>
    <mergeCell ref="BF3:BK4"/>
    <mergeCell ref="AT4:AT6"/>
    <mergeCell ref="AU4:AU6"/>
    <mergeCell ref="AZ3:AZ6"/>
    <mergeCell ref="BA3:BA6"/>
    <mergeCell ref="AX3:AX6"/>
    <mergeCell ref="AY3:AY6"/>
    <mergeCell ref="AN3:AV3"/>
    <mergeCell ref="BC3:BC6"/>
    <mergeCell ref="BD3:BD6"/>
    <mergeCell ref="BP6:BQ6"/>
    <mergeCell ref="A165:BC165"/>
    <mergeCell ref="A95:F95"/>
    <mergeCell ref="A105:BC105"/>
    <mergeCell ref="A122:F122"/>
    <mergeCell ref="A131:F131"/>
    <mergeCell ref="A144:F144"/>
    <mergeCell ref="A155:BC155"/>
    <mergeCell ref="A47:F47"/>
    <mergeCell ref="P5:P6"/>
    <mergeCell ref="D3:D6"/>
    <mergeCell ref="A3:A6"/>
    <mergeCell ref="B3:B6"/>
    <mergeCell ref="C3:C6"/>
    <mergeCell ref="A26:F26"/>
    <mergeCell ref="E3:E6"/>
    <mergeCell ref="F3:F6"/>
    <mergeCell ref="J3:J6"/>
    <mergeCell ref="BB3:BB6"/>
    <mergeCell ref="AW3:AW6"/>
    <mergeCell ref="AP4:AP6"/>
    <mergeCell ref="AQ4:AQ6"/>
    <mergeCell ref="AR4:AR6"/>
    <mergeCell ref="AS4:AS6"/>
    <mergeCell ref="AM3:AM6"/>
    <mergeCell ref="AL3:AL6"/>
    <mergeCell ref="AJ4:AJ6"/>
    <mergeCell ref="A90:F90"/>
    <mergeCell ref="A63:H63"/>
    <mergeCell ref="A73:H73"/>
    <mergeCell ref="AA5:AA6"/>
    <mergeCell ref="R5:R6"/>
    <mergeCell ref="Y5:Y6"/>
    <mergeCell ref="A81:G81"/>
    <mergeCell ref="W5:W6"/>
    <mergeCell ref="A54:F54"/>
    <mergeCell ref="A7:D7"/>
    <mergeCell ref="A32:F32"/>
    <mergeCell ref="A14:F14"/>
    <mergeCell ref="A19:F19"/>
    <mergeCell ref="T5:T6"/>
    <mergeCell ref="O5:O6"/>
    <mergeCell ref="S5:S6"/>
    <mergeCell ref="X5:X6"/>
    <mergeCell ref="AH3:AJ3"/>
    <mergeCell ref="AK3:AK6"/>
    <mergeCell ref="AI4:AI6"/>
    <mergeCell ref="AB3:AB6"/>
    <mergeCell ref="Z5:Z6"/>
  </mergeCells>
  <phoneticPr fontId="86" type="noConversion"/>
  <conditionalFormatting sqref="O106:O119 O132 O134:O141 O145:O152 O156:O162 U106:U119 U132:U141 U145:U152 U156:U162 Z106:Z119 Z132:Z141 Z145:Z152 Z156:Z162 O166:O172 U166:U172 Z166:Z172 O123:O127 U123:U127 Z123:Z127 O74:O78 O82:O86 O91:O92 U64:U69 U74:U78 U82:U86 U91:U92 Z64:Z69 Z74:Z78 Z82:Z86 Z91:Z92 O55:O59 U55 U59 Z55 Z59 O64:O69 U96:U101 Z96:Z101 O48:O51 Z33:Z44 U48:U51 Z48:Z51 O20:O23 O27 O33:O44 U20:U23 U27 U33:U44 Z20:Z23 Z27 O96:O101">
    <cfRule type="cellIs" dxfId="0" priority="3" stopIfTrue="1" operator="greaterThanOrEqual">
      <formula>10</formula>
    </cfRule>
  </conditionalFormatting>
  <dataValidations disablePrompts="1" count="1">
    <dataValidation type="list" allowBlank="1" showErrorMessage="1" errorTitle="Выберите значение из списка" sqref="BD109:BD112 BG109:BG112 BE110:BG112 BD178 BG178 BD179:BG181 BD236:BG238 BD241:BD242 BG241:BG242 BD243:BG245 BD275:BG277">
      <formula1>#REF!</formula1>
      <formula2>0</formula2>
    </dataValidation>
  </dataValidations>
  <pageMargins left="0.1701388888888889" right="0.22013888888888888" top="0.1701388888888889" bottom="0.1701388888888889" header="0.51180555555555551" footer="0.51180555555555551"/>
  <pageSetup paperSize="8" scale="66" firstPageNumber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РАСЧЕТ (ИЗМ)</vt:lpstr>
      <vt:lpstr>Сетевой график (план)</vt:lpstr>
      <vt:lpstr>Мероприятия_отчет</vt:lpstr>
      <vt:lpstr>Мероприятия_план</vt:lpstr>
      <vt:lpstr>Мероприятия_отчет!Область_печати</vt:lpstr>
      <vt:lpstr>Мероприятия_план!Область_печати</vt:lpstr>
      <vt:lpstr>'РАСЧЕТ (ИЗМ)'!Область_печати</vt:lpstr>
      <vt:lpstr>'Сетевой график (план)'!Область_печати</vt:lpstr>
    </vt:vector>
  </TitlesOfParts>
  <Company>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Улановский Евгений Андреевич</dc:creator>
  <cp:lastModifiedBy>rvzgoba</cp:lastModifiedBy>
  <cp:lastPrinted>2015-03-18T08:10:48Z</cp:lastPrinted>
  <dcterms:created xsi:type="dcterms:W3CDTF">2011-07-28T13:18:21Z</dcterms:created>
  <dcterms:modified xsi:type="dcterms:W3CDTF">2018-12-07T12:37:29Z</dcterms:modified>
</cp:coreProperties>
</file>